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filterPrivacy="1" codeName="Questa_cartella_di_lavoro"/>
  <xr:revisionPtr revIDLastSave="0" documentId="13_ncr:1_{9EF88665-2401-442D-99A3-A3D4D559EAF5}" xr6:coauthVersionLast="47" xr6:coauthVersionMax="47" xr10:uidLastSave="{00000000-0000-0000-0000-000000000000}"/>
  <bookViews>
    <workbookView xWindow="-110" yWindow="-110" windowWidth="19420" windowHeight="10300" tabRatio="870" xr2:uid="{00000000-000D-0000-FFFF-FFFF00000000}"/>
  </bookViews>
  <sheets>
    <sheet name="Indice" sheetId="250" r:id="rId1"/>
    <sheet name="6.1" sheetId="307" r:id="rId2"/>
    <sheet name="6.2 " sheetId="298" r:id="rId3"/>
    <sheet name="6.3 " sheetId="308" r:id="rId4"/>
    <sheet name=" 6.4" sheetId="305" r:id="rId5"/>
    <sheet name="6.5" sheetId="304" r:id="rId6"/>
    <sheet name="6.6" sheetId="253" r:id="rId7"/>
    <sheet name="6.7 " sheetId="309" r:id="rId8"/>
    <sheet name="6.8 " sheetId="303" r:id="rId9"/>
    <sheet name=" 6.9" sheetId="289" r:id="rId10"/>
    <sheet name="6.10" sheetId="310" r:id="rId11"/>
    <sheet name="6.11" sheetId="311" r:id="rId12"/>
    <sheet name="6.12" sheetId="302" r:id="rId13"/>
    <sheet name="6.13" sheetId="285" r:id="rId14"/>
    <sheet name="6.14" sheetId="266" r:id="rId15"/>
    <sheet name="6.15" sheetId="290" r:id="rId16"/>
    <sheet name="6.16" sheetId="295" r:id="rId17"/>
    <sheet name="6.17" sheetId="296" r:id="rId18"/>
    <sheet name="6.18" sheetId="291" r:id="rId19"/>
    <sheet name="6.19" sheetId="292" r:id="rId20"/>
    <sheet name="6.20" sheetId="293" r:id="rId21"/>
    <sheet name="6.21" sheetId="294" r:id="rId22"/>
    <sheet name="6.22" sheetId="287" r:id="rId23"/>
    <sheet name="6.23" sheetId="288" r:id="rId24"/>
  </sheets>
  <externalReferences>
    <externalReference r:id="rId25"/>
    <externalReference r:id="rId26"/>
    <externalReference r:id="rId27"/>
    <externalReference r:id="rId28"/>
    <externalReference r:id="rId29"/>
    <externalReference r:id="rId30"/>
    <externalReference r:id="rId31"/>
  </externalReferences>
  <definedNames>
    <definedName name="_" localSheetId="4" hidden="1">#REF!</definedName>
    <definedName name="_" localSheetId="10" hidden="1">#REF!</definedName>
    <definedName name="_" localSheetId="11" hidden="1">#REF!</definedName>
    <definedName name="_" localSheetId="2" hidden="1">#REF!</definedName>
    <definedName name="_" localSheetId="5" hidden="1">#REF!</definedName>
    <definedName name="_" localSheetId="7" hidden="1">#REF!</definedName>
    <definedName name="_" localSheetId="8" hidden="1">#REF!</definedName>
    <definedName name="_" hidden="1">#REF!</definedName>
    <definedName name="_1__123Graph_AGRAFICO_1" localSheetId="4" hidden="1">'[1]Tabella 4'!$C$10:$C$26</definedName>
    <definedName name="_1__123Graph_AGRAFICO_1" localSheetId="9" hidden="1">'[2]Tabella 4'!$C$10:$C$26</definedName>
    <definedName name="_1__123Graph_AGRAFICO_1" localSheetId="1" hidden="1">'[1]Tabella 4'!$C$10:$C$26</definedName>
    <definedName name="_1__123Graph_AGRAFICO_1" localSheetId="10" hidden="1">'[2]Tabella 4'!$C$10:$C$26</definedName>
    <definedName name="_1__123Graph_AGRAFICO_1" localSheetId="11" hidden="1">'[2]Tabella 4'!$C$10:$C$26</definedName>
    <definedName name="_1__123Graph_AGRAFICO_1" localSheetId="12" hidden="1">'[2]Tabella 4'!$C$10:$C$26</definedName>
    <definedName name="_1__123Graph_AGRAFICO_1" localSheetId="2" hidden="1">'[1]Tabella 4'!$C$10:$C$26</definedName>
    <definedName name="_1__123Graph_AGRAFICO_1" localSheetId="23" hidden="1">'[3]Tabella 4'!$C$10:$C$26</definedName>
    <definedName name="_1__123Graph_AGRAFICO_1" localSheetId="3" hidden="1">'[1]Tabella 4'!$C$10:$C$26</definedName>
    <definedName name="_1__123Graph_AGRAFICO_1" localSheetId="5" hidden="1">'[1]Tabella 4'!$C$10:$C$26</definedName>
    <definedName name="_1__123Graph_AGRAFICO_1" localSheetId="6" hidden="1">'[2]Tabella 4'!$C$10:$C$26</definedName>
    <definedName name="_1__123Graph_AGRAFICO_1" localSheetId="7" hidden="1">'[2]Tabella 4'!$C$10:$C$26</definedName>
    <definedName name="_1__123Graph_AGRAFICO_1" localSheetId="8" hidden="1">'[2]Tabella 4'!$C$10:$C$26</definedName>
    <definedName name="_1__123Graph_AGRAFICO_1" localSheetId="0" hidden="1">'[2]Tabella 4'!$C$10:$C$26</definedName>
    <definedName name="_1__123Graph_AGRAFICO_1" hidden="1">'[2]Tabella 4'!$C$10:$C$26</definedName>
    <definedName name="_2__123Graph_AGRAFICO_2" localSheetId="4" hidden="1">'[1]Tabella 4'!$O$14:$O$26</definedName>
    <definedName name="_2__123Graph_AGRAFICO_2" localSheetId="9" hidden="1">'[2]Tabella 4'!$O$14:$O$26</definedName>
    <definedName name="_2__123Graph_AGRAFICO_2" localSheetId="1" hidden="1">'[1]Tabella 4'!$O$14:$O$26</definedName>
    <definedName name="_2__123Graph_AGRAFICO_2" localSheetId="10" hidden="1">'[2]Tabella 4'!$O$14:$O$26</definedName>
    <definedName name="_2__123Graph_AGRAFICO_2" localSheetId="11" hidden="1">'[2]Tabella 4'!$O$14:$O$26</definedName>
    <definedName name="_2__123Graph_AGRAFICO_2" localSheetId="12" hidden="1">'[2]Tabella 4'!$O$14:$O$26</definedName>
    <definedName name="_2__123Graph_AGRAFICO_2" localSheetId="2" hidden="1">'[1]Tabella 4'!$O$14:$O$26</definedName>
    <definedName name="_2__123Graph_AGRAFICO_2" localSheetId="23" hidden="1">'[3]Tabella 4'!$O$14:$O$26</definedName>
    <definedName name="_2__123Graph_AGRAFICO_2" localSheetId="3" hidden="1">'[1]Tabella 4'!$O$14:$O$26</definedName>
    <definedName name="_2__123Graph_AGRAFICO_2" localSheetId="5" hidden="1">'[1]Tabella 4'!$O$14:$O$26</definedName>
    <definedName name="_2__123Graph_AGRAFICO_2" localSheetId="6" hidden="1">'[2]Tabella 4'!$O$14:$O$26</definedName>
    <definedName name="_2__123Graph_AGRAFICO_2" localSheetId="7" hidden="1">'[2]Tabella 4'!$O$14:$O$26</definedName>
    <definedName name="_2__123Graph_AGRAFICO_2" localSheetId="8" hidden="1">'[2]Tabella 4'!$O$14:$O$26</definedName>
    <definedName name="_2__123Graph_AGRAFICO_2" localSheetId="0" hidden="1">'[2]Tabella 4'!$O$14:$O$26</definedName>
    <definedName name="_2__123Graph_AGRAFICO_2" hidden="1">'[2]Tabella 4'!$O$14:$O$26</definedName>
    <definedName name="_3__123Graph_AGRAFICO_3" localSheetId="4" hidden="1">'[1]Tabella 4'!$K$14:$K$26</definedName>
    <definedName name="_3__123Graph_AGRAFICO_3" localSheetId="9" hidden="1">'[2]Tabella 4'!$K$14:$K$26</definedName>
    <definedName name="_3__123Graph_AGRAFICO_3" localSheetId="1" hidden="1">'[1]Tabella 4'!$K$14:$K$26</definedName>
    <definedName name="_3__123Graph_AGRAFICO_3" localSheetId="10" hidden="1">'[2]Tabella 4'!$K$14:$K$26</definedName>
    <definedName name="_3__123Graph_AGRAFICO_3" localSheetId="11" hidden="1">'[2]Tabella 4'!$K$14:$K$26</definedName>
    <definedName name="_3__123Graph_AGRAFICO_3" localSheetId="12" hidden="1">'[2]Tabella 4'!$K$14:$K$26</definedName>
    <definedName name="_3__123Graph_AGRAFICO_3" localSheetId="2" hidden="1">'[1]Tabella 4'!$K$14:$K$26</definedName>
    <definedName name="_3__123Graph_AGRAFICO_3" localSheetId="23" hidden="1">'[3]Tabella 4'!$K$14:$K$26</definedName>
    <definedName name="_3__123Graph_AGRAFICO_3" localSheetId="3" hidden="1">'[1]Tabella 4'!$K$14:$K$26</definedName>
    <definedName name="_3__123Graph_AGRAFICO_3" localSheetId="5" hidden="1">'[1]Tabella 4'!$K$14:$K$26</definedName>
    <definedName name="_3__123Graph_AGRAFICO_3" localSheetId="6" hidden="1">'[2]Tabella 4'!$K$14:$K$26</definedName>
    <definedName name="_3__123Graph_AGRAFICO_3" localSheetId="7" hidden="1">'[2]Tabella 4'!$K$14:$K$26</definedName>
    <definedName name="_3__123Graph_AGRAFICO_3" localSheetId="8" hidden="1">'[2]Tabella 4'!$K$14:$K$26</definedName>
    <definedName name="_3__123Graph_AGRAFICO_3" localSheetId="0" hidden="1">'[2]Tabella 4'!$K$14:$K$26</definedName>
    <definedName name="_3__123Graph_AGRAFICO_3" hidden="1">'[2]Tabella 4'!$K$14:$K$26</definedName>
    <definedName name="_4__123Graph_BGRAFICO_1" localSheetId="4" hidden="1">'[1]Tabella 4'!$F$10:$F$26</definedName>
    <definedName name="_4__123Graph_BGRAFICO_1" localSheetId="9" hidden="1">'[2]Tabella 4'!$F$10:$F$26</definedName>
    <definedName name="_4__123Graph_BGRAFICO_1" localSheetId="1" hidden="1">'[1]Tabella 4'!$F$10:$F$26</definedName>
    <definedName name="_4__123Graph_BGRAFICO_1" localSheetId="10" hidden="1">'[2]Tabella 4'!$F$10:$F$26</definedName>
    <definedName name="_4__123Graph_BGRAFICO_1" localSheetId="11" hidden="1">'[2]Tabella 4'!$F$10:$F$26</definedName>
    <definedName name="_4__123Graph_BGRAFICO_1" localSheetId="12" hidden="1">'[2]Tabella 4'!$F$10:$F$26</definedName>
    <definedName name="_4__123Graph_BGRAFICO_1" localSheetId="2" hidden="1">'[1]Tabella 4'!$F$10:$F$26</definedName>
    <definedName name="_4__123Graph_BGRAFICO_1" localSheetId="23" hidden="1">'[3]Tabella 4'!$F$10:$F$26</definedName>
    <definedName name="_4__123Graph_BGRAFICO_1" localSheetId="3" hidden="1">'[1]Tabella 4'!$F$10:$F$26</definedName>
    <definedName name="_4__123Graph_BGRAFICO_1" localSheetId="5" hidden="1">'[1]Tabella 4'!$F$10:$F$26</definedName>
    <definedName name="_4__123Graph_BGRAFICO_1" localSheetId="6" hidden="1">'[2]Tabella 4'!$F$10:$F$26</definedName>
    <definedName name="_4__123Graph_BGRAFICO_1" localSheetId="7" hidden="1">'[2]Tabella 4'!$F$10:$F$26</definedName>
    <definedName name="_4__123Graph_BGRAFICO_1" localSheetId="8" hidden="1">'[2]Tabella 4'!$F$10:$F$26</definedName>
    <definedName name="_4__123Graph_BGRAFICO_1" localSheetId="0" hidden="1">'[2]Tabella 4'!$F$10:$F$26</definedName>
    <definedName name="_4__123Graph_BGRAFICO_1" hidden="1">'[2]Tabella 4'!$F$10:$F$26</definedName>
    <definedName name="_5__123Graph_BGRAFICO_2" localSheetId="4" hidden="1">'[1]Tabella 4'!$P$14:$P$26</definedName>
    <definedName name="_5__123Graph_BGRAFICO_2" localSheetId="9" hidden="1">'[2]Tabella 4'!$P$14:$P$26</definedName>
    <definedName name="_5__123Graph_BGRAFICO_2" localSheetId="1" hidden="1">'[1]Tabella 4'!$P$14:$P$26</definedName>
    <definedName name="_5__123Graph_BGRAFICO_2" localSheetId="10" hidden="1">'[2]Tabella 4'!$P$14:$P$26</definedName>
    <definedName name="_5__123Graph_BGRAFICO_2" localSheetId="11" hidden="1">'[2]Tabella 4'!$P$14:$P$26</definedName>
    <definedName name="_5__123Graph_BGRAFICO_2" localSheetId="12" hidden="1">'[2]Tabella 4'!$P$14:$P$26</definedName>
    <definedName name="_5__123Graph_BGRAFICO_2" localSheetId="2" hidden="1">'[1]Tabella 4'!$P$14:$P$26</definedName>
    <definedName name="_5__123Graph_BGRAFICO_2" localSheetId="23" hidden="1">'[3]Tabella 4'!$P$14:$P$26</definedName>
    <definedName name="_5__123Graph_BGRAFICO_2" localSheetId="3" hidden="1">'[1]Tabella 4'!$P$14:$P$26</definedName>
    <definedName name="_5__123Graph_BGRAFICO_2" localSheetId="5" hidden="1">'[1]Tabella 4'!$P$14:$P$26</definedName>
    <definedName name="_5__123Graph_BGRAFICO_2" localSheetId="6" hidden="1">'[2]Tabella 4'!$P$14:$P$26</definedName>
    <definedName name="_5__123Graph_BGRAFICO_2" localSheetId="7" hidden="1">'[2]Tabella 4'!$P$14:$P$26</definedName>
    <definedName name="_5__123Graph_BGRAFICO_2" localSheetId="8" hidden="1">'[2]Tabella 4'!$P$14:$P$26</definedName>
    <definedName name="_5__123Graph_BGRAFICO_2" localSheetId="0" hidden="1">'[2]Tabella 4'!$P$14:$P$26</definedName>
    <definedName name="_5__123Graph_BGRAFICO_2" hidden="1">'[2]Tabella 4'!$P$14:$P$26</definedName>
    <definedName name="_6__123Graph_BGRAFICO_3" localSheetId="4" hidden="1">'[1]Tabella 4'!$N$14:$N$26</definedName>
    <definedName name="_6__123Graph_BGRAFICO_3" localSheetId="9" hidden="1">'[2]Tabella 4'!$N$14:$N$26</definedName>
    <definedName name="_6__123Graph_BGRAFICO_3" localSheetId="1" hidden="1">'[1]Tabella 4'!$N$14:$N$26</definedName>
    <definedName name="_6__123Graph_BGRAFICO_3" localSheetId="10" hidden="1">'[2]Tabella 4'!$N$14:$N$26</definedName>
    <definedName name="_6__123Graph_BGRAFICO_3" localSheetId="11" hidden="1">'[2]Tabella 4'!$N$14:$N$26</definedName>
    <definedName name="_6__123Graph_BGRAFICO_3" localSheetId="12" hidden="1">'[2]Tabella 4'!$N$14:$N$26</definedName>
    <definedName name="_6__123Graph_BGRAFICO_3" localSheetId="2" hidden="1">'[1]Tabella 4'!$N$14:$N$26</definedName>
    <definedName name="_6__123Graph_BGRAFICO_3" localSheetId="23" hidden="1">'[3]Tabella 4'!$N$14:$N$26</definedName>
    <definedName name="_6__123Graph_BGRAFICO_3" localSheetId="3" hidden="1">'[1]Tabella 4'!$N$14:$N$26</definedName>
    <definedName name="_6__123Graph_BGRAFICO_3" localSheetId="5" hidden="1">'[1]Tabella 4'!$N$14:$N$26</definedName>
    <definedName name="_6__123Graph_BGRAFICO_3" localSheetId="6" hidden="1">'[2]Tabella 4'!$N$14:$N$26</definedName>
    <definedName name="_6__123Graph_BGRAFICO_3" localSheetId="7" hidden="1">'[2]Tabella 4'!$N$14:$N$26</definedName>
    <definedName name="_6__123Graph_BGRAFICO_3" localSheetId="8" hidden="1">'[2]Tabella 4'!$N$14:$N$26</definedName>
    <definedName name="_6__123Graph_BGRAFICO_3" localSheetId="0" hidden="1">'[2]Tabella 4'!$N$14:$N$26</definedName>
    <definedName name="_6__123Graph_BGRAFICO_3" hidden="1">'[2]Tabella 4'!$N$14:$N$26</definedName>
    <definedName name="_7__123Graph_XGRAFICO_1" localSheetId="4" hidden="1">'[1]Tabella 4'!$A$10:$A$26</definedName>
    <definedName name="_7__123Graph_XGRAFICO_1" localSheetId="9" hidden="1">'[2]Tabella 4'!$A$10:$A$26</definedName>
    <definedName name="_7__123Graph_XGRAFICO_1" localSheetId="1" hidden="1">'[1]Tabella 4'!$A$10:$A$26</definedName>
    <definedName name="_7__123Graph_XGRAFICO_1" localSheetId="10" hidden="1">'[2]Tabella 4'!$A$10:$A$26</definedName>
    <definedName name="_7__123Graph_XGRAFICO_1" localSheetId="11" hidden="1">'[2]Tabella 4'!$A$10:$A$26</definedName>
    <definedName name="_7__123Graph_XGRAFICO_1" localSheetId="12" hidden="1">'[2]Tabella 4'!$A$10:$A$26</definedName>
    <definedName name="_7__123Graph_XGRAFICO_1" localSheetId="2" hidden="1">'[1]Tabella 4'!$A$10:$A$26</definedName>
    <definedName name="_7__123Graph_XGRAFICO_1" localSheetId="23" hidden="1">'[3]Tabella 4'!$A$10:$A$26</definedName>
    <definedName name="_7__123Graph_XGRAFICO_1" localSheetId="3" hidden="1">'[1]Tabella 4'!$A$10:$A$26</definedName>
    <definedName name="_7__123Graph_XGRAFICO_1" localSheetId="5" hidden="1">'[1]Tabella 4'!$A$10:$A$26</definedName>
    <definedName name="_7__123Graph_XGRAFICO_1" localSheetId="6" hidden="1">'[2]Tabella 4'!$A$10:$A$26</definedName>
    <definedName name="_7__123Graph_XGRAFICO_1" localSheetId="7" hidden="1">'[2]Tabella 4'!$A$10:$A$26</definedName>
    <definedName name="_7__123Graph_XGRAFICO_1" localSheetId="8" hidden="1">'[2]Tabella 4'!$A$10:$A$26</definedName>
    <definedName name="_7__123Graph_XGRAFICO_1" localSheetId="0" hidden="1">'[2]Tabella 4'!$A$10:$A$26</definedName>
    <definedName name="_7__123Graph_XGRAFICO_1" hidden="1">'[2]Tabella 4'!$A$10:$A$26</definedName>
    <definedName name="_8__123Graph_XGRAFICO_2" localSheetId="4" hidden="1">'[1]Tabella 4'!$A$14:$A$26</definedName>
    <definedName name="_8__123Graph_XGRAFICO_2" localSheetId="9" hidden="1">'[2]Tabella 4'!$A$14:$A$26</definedName>
    <definedName name="_8__123Graph_XGRAFICO_2" localSheetId="1" hidden="1">'[1]Tabella 4'!$A$14:$A$26</definedName>
    <definedName name="_8__123Graph_XGRAFICO_2" localSheetId="10" hidden="1">'[2]Tabella 4'!$A$14:$A$26</definedName>
    <definedName name="_8__123Graph_XGRAFICO_2" localSheetId="11" hidden="1">'[2]Tabella 4'!$A$14:$A$26</definedName>
    <definedName name="_8__123Graph_XGRAFICO_2" localSheetId="12" hidden="1">'[2]Tabella 4'!$A$14:$A$26</definedName>
    <definedName name="_8__123Graph_XGRAFICO_2" localSheetId="2" hidden="1">'[1]Tabella 4'!$A$14:$A$26</definedName>
    <definedName name="_8__123Graph_XGRAFICO_2" localSheetId="23" hidden="1">'[3]Tabella 4'!$A$14:$A$26</definedName>
    <definedName name="_8__123Graph_XGRAFICO_2" localSheetId="3" hidden="1">'[1]Tabella 4'!$A$14:$A$26</definedName>
    <definedName name="_8__123Graph_XGRAFICO_2" localSheetId="5" hidden="1">'[1]Tabella 4'!$A$14:$A$26</definedName>
    <definedName name="_8__123Graph_XGRAFICO_2" localSheetId="6" hidden="1">'[2]Tabella 4'!$A$14:$A$26</definedName>
    <definedName name="_8__123Graph_XGRAFICO_2" localSheetId="7" hidden="1">'[2]Tabella 4'!$A$14:$A$26</definedName>
    <definedName name="_8__123Graph_XGRAFICO_2" localSheetId="8" hidden="1">'[2]Tabella 4'!$A$14:$A$26</definedName>
    <definedName name="_8__123Graph_XGRAFICO_2" localSheetId="0" hidden="1">'[2]Tabella 4'!$A$14:$A$26</definedName>
    <definedName name="_8__123Graph_XGRAFICO_2" hidden="1">'[2]Tabella 4'!$A$14:$A$26</definedName>
    <definedName name="_9__123Graph_XGRAFICO_3" localSheetId="4" hidden="1">'[1]Tabella 4'!$A$14:$A$26</definedName>
    <definedName name="_9__123Graph_XGRAFICO_3" localSheetId="9" hidden="1">'[2]Tabella 4'!$A$14:$A$26</definedName>
    <definedName name="_9__123Graph_XGRAFICO_3" localSheetId="1" hidden="1">'[1]Tabella 4'!$A$14:$A$26</definedName>
    <definedName name="_9__123Graph_XGRAFICO_3" localSheetId="10" hidden="1">'[2]Tabella 4'!$A$14:$A$26</definedName>
    <definedName name="_9__123Graph_XGRAFICO_3" localSheetId="11" hidden="1">'[2]Tabella 4'!$A$14:$A$26</definedName>
    <definedName name="_9__123Graph_XGRAFICO_3" localSheetId="12" hidden="1">'[2]Tabella 4'!$A$14:$A$26</definedName>
    <definedName name="_9__123Graph_XGRAFICO_3" localSheetId="2" hidden="1">'[1]Tabella 4'!$A$14:$A$26</definedName>
    <definedName name="_9__123Graph_XGRAFICO_3" localSheetId="23" hidden="1">'[3]Tabella 4'!$A$14:$A$26</definedName>
    <definedName name="_9__123Graph_XGRAFICO_3" localSheetId="3" hidden="1">'[1]Tabella 4'!$A$14:$A$26</definedName>
    <definedName name="_9__123Graph_XGRAFICO_3" localSheetId="5" hidden="1">'[1]Tabella 4'!$A$14:$A$26</definedName>
    <definedName name="_9__123Graph_XGRAFICO_3" localSheetId="6" hidden="1">'[2]Tabella 4'!$A$14:$A$26</definedName>
    <definedName name="_9__123Graph_XGRAFICO_3" localSheetId="7" hidden="1">'[2]Tabella 4'!$A$14:$A$26</definedName>
    <definedName name="_9__123Graph_XGRAFICO_3" localSheetId="8" hidden="1">'[2]Tabella 4'!$A$14:$A$26</definedName>
    <definedName name="_9__123Graph_XGRAFICO_3" localSheetId="0" hidden="1">'[2]Tabella 4'!$A$14:$A$26</definedName>
    <definedName name="_9__123Graph_XGRAFICO_3" hidden="1">'[2]Tabella 4'!$A$14:$A$26</definedName>
    <definedName name="_Parse_Out" localSheetId="4" hidden="1">#REF!</definedName>
    <definedName name="_Parse_Out" localSheetId="9" hidden="1">#REF!</definedName>
    <definedName name="_Parse_Out" localSheetId="1" hidden="1">#REF!</definedName>
    <definedName name="_Parse_Out" localSheetId="11" hidden="1">#REF!</definedName>
    <definedName name="_Parse_Out" localSheetId="14" hidden="1">#REF!</definedName>
    <definedName name="_Parse_Out" localSheetId="15" hidden="1">#REF!</definedName>
    <definedName name="_Parse_Out" localSheetId="16" hidden="1">#REF!</definedName>
    <definedName name="_Parse_Out" localSheetId="17" hidden="1">#REF!</definedName>
    <definedName name="_Parse_Out" localSheetId="18" hidden="1">#REF!</definedName>
    <definedName name="_Parse_Out" localSheetId="19" hidden="1">#REF!</definedName>
    <definedName name="_Parse_Out" localSheetId="2" hidden="1">#REF!</definedName>
    <definedName name="_Parse_Out" localSheetId="20" hidden="1">#REF!</definedName>
    <definedName name="_Parse_Out" localSheetId="21" hidden="1">#REF!</definedName>
    <definedName name="_Parse_Out" localSheetId="23" hidden="1">#REF!</definedName>
    <definedName name="_Parse_Out" localSheetId="3" hidden="1">#REF!</definedName>
    <definedName name="_Parse_Out" localSheetId="5" hidden="1">#REF!</definedName>
    <definedName name="_Parse_Out" localSheetId="6" hidden="1">#REF!</definedName>
    <definedName name="_Parse_Out" localSheetId="8" hidden="1">#REF!</definedName>
    <definedName name="_Parse_Out" localSheetId="0" hidden="1">#REF!</definedName>
    <definedName name="_Parse_Out" hidden="1">#REF!</definedName>
    <definedName name="a" localSheetId="4">#REF!</definedName>
    <definedName name="a" localSheetId="9">#REF!</definedName>
    <definedName name="a" localSheetId="1">#REF!</definedName>
    <definedName name="a" localSheetId="11">#REF!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#REF!</definedName>
    <definedName name="a" localSheetId="20">#REF!</definedName>
    <definedName name="a" localSheetId="21">#REF!</definedName>
    <definedName name="a" localSheetId="23">#REF!</definedName>
    <definedName name="a" localSheetId="3">#REF!</definedName>
    <definedName name="a" localSheetId="5">#REF!</definedName>
    <definedName name="a" localSheetId="6">#REF!</definedName>
    <definedName name="a" localSheetId="8">#REF!</definedName>
    <definedName name="a" localSheetId="0">#REF!</definedName>
    <definedName name="a">#REF!</definedName>
    <definedName name="AA" localSheetId="4">#REF!</definedName>
    <definedName name="AA" localSheetId="9">#REF!</definedName>
    <definedName name="AA" localSheetId="1">#REF!</definedName>
    <definedName name="AA" localSheetId="11">#REF!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19">#REF!</definedName>
    <definedName name="AA" localSheetId="2">#REF!</definedName>
    <definedName name="AA" localSheetId="20">#REF!</definedName>
    <definedName name="AA" localSheetId="21">#REF!</definedName>
    <definedName name="AA" localSheetId="23">#REF!</definedName>
    <definedName name="AA" localSheetId="3">#REF!</definedName>
    <definedName name="AA" localSheetId="5">#REF!</definedName>
    <definedName name="AA" localSheetId="6">#REF!</definedName>
    <definedName name="AA" localSheetId="8">#REF!</definedName>
    <definedName name="AA" localSheetId="0">#REF!</definedName>
    <definedName name="AA">#REF!</definedName>
    <definedName name="aaz" localSheetId="4">#REF!</definedName>
    <definedName name="aaz" localSheetId="9">#REF!</definedName>
    <definedName name="aaz" localSheetId="1">#REF!</definedName>
    <definedName name="aaz" localSheetId="14">#REF!</definedName>
    <definedName name="aaz" localSheetId="15">#REF!</definedName>
    <definedName name="aaz" localSheetId="16">#REF!</definedName>
    <definedName name="aaz" localSheetId="17">#REF!</definedName>
    <definedName name="aaz" localSheetId="18">#REF!</definedName>
    <definedName name="aaz" localSheetId="19">#REF!</definedName>
    <definedName name="aaz" localSheetId="2">#REF!</definedName>
    <definedName name="aaz" localSheetId="20">#REF!</definedName>
    <definedName name="aaz" localSheetId="21">#REF!</definedName>
    <definedName name="aaz" localSheetId="23">#REF!</definedName>
    <definedName name="aaz" localSheetId="3">#REF!</definedName>
    <definedName name="aaz" localSheetId="5">#REF!</definedName>
    <definedName name="aaz" localSheetId="6">#REF!</definedName>
    <definedName name="aaz" localSheetId="8">#REF!</definedName>
    <definedName name="aaz" localSheetId="0">#REF!</definedName>
    <definedName name="aaz">#REF!</definedName>
    <definedName name="adc" localSheetId="4">#REF!</definedName>
    <definedName name="adc" localSheetId="9">#REF!</definedName>
    <definedName name="adc" localSheetId="1">#REF!</definedName>
    <definedName name="adc" localSheetId="14">#REF!</definedName>
    <definedName name="adc" localSheetId="15">#REF!</definedName>
    <definedName name="adc" localSheetId="16">#REF!</definedName>
    <definedName name="adc" localSheetId="17">#REF!</definedName>
    <definedName name="adc" localSheetId="18">#REF!</definedName>
    <definedName name="adc" localSheetId="19">#REF!</definedName>
    <definedName name="adc" localSheetId="2">#REF!</definedName>
    <definedName name="adc" localSheetId="20">#REF!</definedName>
    <definedName name="adc" localSheetId="21">#REF!</definedName>
    <definedName name="adc" localSheetId="23">#REF!</definedName>
    <definedName name="adc" localSheetId="3">#REF!</definedName>
    <definedName name="adc" localSheetId="5">#REF!</definedName>
    <definedName name="adc" localSheetId="6">#REF!</definedName>
    <definedName name="adc" localSheetId="8">#REF!</definedName>
    <definedName name="adc" localSheetId="0">#REF!</definedName>
    <definedName name="adc">#REF!</definedName>
    <definedName name="afaf" localSheetId="4">#REF!</definedName>
    <definedName name="afaf" localSheetId="9">#REF!</definedName>
    <definedName name="afaf" localSheetId="1">#REF!</definedName>
    <definedName name="afaf" localSheetId="14">#REF!</definedName>
    <definedName name="afaf" localSheetId="15">#REF!</definedName>
    <definedName name="afaf" localSheetId="16">#REF!</definedName>
    <definedName name="afaf" localSheetId="17">#REF!</definedName>
    <definedName name="afaf" localSheetId="18">#REF!</definedName>
    <definedName name="afaf" localSheetId="19">#REF!</definedName>
    <definedName name="afaf" localSheetId="2">#REF!</definedName>
    <definedName name="afaf" localSheetId="20">#REF!</definedName>
    <definedName name="afaf" localSheetId="21">#REF!</definedName>
    <definedName name="afaf" localSheetId="23">#REF!</definedName>
    <definedName name="afaf" localSheetId="3">#REF!</definedName>
    <definedName name="afaf" localSheetId="5">#REF!</definedName>
    <definedName name="afaf" localSheetId="6">#REF!</definedName>
    <definedName name="afaf" localSheetId="8">#REF!</definedName>
    <definedName name="afaf" localSheetId="0">#REF!</definedName>
    <definedName name="afaf">#REF!</definedName>
    <definedName name="alfa_altobasso" localSheetId="4">#REF!</definedName>
    <definedName name="alfa_altobasso" localSheetId="9">#REF!</definedName>
    <definedName name="alfa_altobasso" localSheetId="1">#REF!</definedName>
    <definedName name="alfa_altobasso" localSheetId="14">#REF!</definedName>
    <definedName name="alfa_altobasso" localSheetId="15">#REF!</definedName>
    <definedName name="alfa_altobasso" localSheetId="16">#REF!</definedName>
    <definedName name="alfa_altobasso" localSheetId="17">#REF!</definedName>
    <definedName name="alfa_altobasso" localSheetId="18">#REF!</definedName>
    <definedName name="alfa_altobasso" localSheetId="19">#REF!</definedName>
    <definedName name="alfa_altobasso" localSheetId="2">#REF!</definedName>
    <definedName name="alfa_altobasso" localSheetId="20">#REF!</definedName>
    <definedName name="alfa_altobasso" localSheetId="21">#REF!</definedName>
    <definedName name="alfa_altobasso" localSheetId="23">#REF!</definedName>
    <definedName name="alfa_altobasso" localSheetId="3">#REF!</definedName>
    <definedName name="alfa_altobasso" localSheetId="5">#REF!</definedName>
    <definedName name="alfa_altobasso" localSheetId="6">#REF!</definedName>
    <definedName name="alfa_altobasso" localSheetId="8">#REF!</definedName>
    <definedName name="alfa_altobasso" localSheetId="0">#REF!</definedName>
    <definedName name="alfa_altobasso">#REF!</definedName>
    <definedName name="_xlnm.Print_Area" localSheetId="4">'[4]posizioni giuridiche host'!$A$1:$F$17</definedName>
    <definedName name="_xlnm.Print_Area" localSheetId="9">'[5]posizioni giuridiche host'!$A$1:$F$17</definedName>
    <definedName name="_xlnm.Print_Area" localSheetId="1">'[4]posizioni giuridiche host'!$A$1:$F$17</definedName>
    <definedName name="_xlnm.Print_Area" localSheetId="10">'[5]posizioni giuridiche host'!$A$1:$F$17</definedName>
    <definedName name="_xlnm.Print_Area" localSheetId="11">'[5]posizioni giuridiche host'!$A$1:$F$17</definedName>
    <definedName name="_xlnm.Print_Area" localSheetId="12">'[5]posizioni giuridiche host'!$A$1:$F$17</definedName>
    <definedName name="_xlnm.Print_Area" localSheetId="14">'[6]posizioni giuridiche host'!$A$1:$F$17</definedName>
    <definedName name="_xlnm.Print_Area" localSheetId="2">'6.2 '!$A$4:$I$53</definedName>
    <definedName name="_xlnm.Print_Area" localSheetId="23">'[7]posizioni giuridiche host'!$A$1:$F$17</definedName>
    <definedName name="_xlnm.Print_Area" localSheetId="3">'[4]posizioni giuridiche host'!$A$1:$F$17</definedName>
    <definedName name="_xlnm.Print_Area" localSheetId="5">'[4]posizioni giuridiche host'!$A$1:$F$17</definedName>
    <definedName name="_xlnm.Print_Area" localSheetId="6">'[5]posizioni giuridiche host'!$A$1:$F$17</definedName>
    <definedName name="_xlnm.Print_Area" localSheetId="7">'[5]posizioni giuridiche host'!$A$1:$F$17</definedName>
    <definedName name="_xlnm.Print_Area" localSheetId="8">'[5]posizioni giuridiche host'!$A$1:$F$17</definedName>
    <definedName name="_xlnm.Print_Area">'[5]posizioni giuridiche host'!$A$1:$F$17</definedName>
    <definedName name="az" localSheetId="4">#REF!</definedName>
    <definedName name="az" localSheetId="9">#REF!</definedName>
    <definedName name="az" localSheetId="1">#REF!</definedName>
    <definedName name="az" localSheetId="11">#REF!</definedName>
    <definedName name="az" localSheetId="14">#REF!</definedName>
    <definedName name="az" localSheetId="15">#REF!</definedName>
    <definedName name="az" localSheetId="16">#REF!</definedName>
    <definedName name="az" localSheetId="17">#REF!</definedName>
    <definedName name="az" localSheetId="18">#REF!</definedName>
    <definedName name="az" localSheetId="19">#REF!</definedName>
    <definedName name="az" localSheetId="2">#REF!</definedName>
    <definedName name="az" localSheetId="20">#REF!</definedName>
    <definedName name="az" localSheetId="21">#REF!</definedName>
    <definedName name="az" localSheetId="23">#REF!</definedName>
    <definedName name="az" localSheetId="3">#REF!</definedName>
    <definedName name="az" localSheetId="5">#REF!</definedName>
    <definedName name="az" localSheetId="6">#REF!</definedName>
    <definedName name="az" localSheetId="8">#REF!</definedName>
    <definedName name="az" localSheetId="0">#REF!</definedName>
    <definedName name="az">#REF!</definedName>
    <definedName name="bb" localSheetId="4">#REF!</definedName>
    <definedName name="bb" localSheetId="9">#REF!</definedName>
    <definedName name="bb" localSheetId="1">#REF!</definedName>
    <definedName name="bb" localSheetId="11">#REF!</definedName>
    <definedName name="bb" localSheetId="14">#REF!</definedName>
    <definedName name="bb" localSheetId="15">#REF!</definedName>
    <definedName name="bb" localSheetId="16">#REF!</definedName>
    <definedName name="bb" localSheetId="17">#REF!</definedName>
    <definedName name="bb" localSheetId="18">#REF!</definedName>
    <definedName name="bb" localSheetId="19">#REF!</definedName>
    <definedName name="bb" localSheetId="2">#REF!</definedName>
    <definedName name="bb" localSheetId="20">#REF!</definedName>
    <definedName name="bb" localSheetId="21">#REF!</definedName>
    <definedName name="bb" localSheetId="23">#REF!</definedName>
    <definedName name="bb" localSheetId="3">#REF!</definedName>
    <definedName name="bb" localSheetId="5">#REF!</definedName>
    <definedName name="bb" localSheetId="6">#REF!</definedName>
    <definedName name="bb" localSheetId="8">#REF!</definedName>
    <definedName name="bb" localSheetId="0">#REF!</definedName>
    <definedName name="bb">#REF!</definedName>
    <definedName name="bbz" localSheetId="4">#REF!</definedName>
    <definedName name="bbz" localSheetId="9">#REF!</definedName>
    <definedName name="bbz" localSheetId="1">#REF!</definedName>
    <definedName name="bbz" localSheetId="11">#REF!</definedName>
    <definedName name="bbz" localSheetId="14">#REF!</definedName>
    <definedName name="bbz" localSheetId="15">#REF!</definedName>
    <definedName name="bbz" localSheetId="16">#REF!</definedName>
    <definedName name="bbz" localSheetId="17">#REF!</definedName>
    <definedName name="bbz" localSheetId="18">#REF!</definedName>
    <definedName name="bbz" localSheetId="19">#REF!</definedName>
    <definedName name="bbz" localSheetId="2">#REF!</definedName>
    <definedName name="bbz" localSheetId="20">#REF!</definedName>
    <definedName name="bbz" localSheetId="21">#REF!</definedName>
    <definedName name="bbz" localSheetId="23">#REF!</definedName>
    <definedName name="bbz" localSheetId="3">#REF!</definedName>
    <definedName name="bbz" localSheetId="5">#REF!</definedName>
    <definedName name="bbz" localSheetId="6">#REF!</definedName>
    <definedName name="bbz" localSheetId="8">#REF!</definedName>
    <definedName name="bbz" localSheetId="0">#REF!</definedName>
    <definedName name="bbz">#REF!</definedName>
    <definedName name="bgtff" localSheetId="4">#REF!</definedName>
    <definedName name="bgtff" localSheetId="9">#REF!</definedName>
    <definedName name="bgtff" localSheetId="1">#REF!</definedName>
    <definedName name="bgtff" localSheetId="14">#REF!</definedName>
    <definedName name="bgtff" localSheetId="15">#REF!</definedName>
    <definedName name="bgtff" localSheetId="16">#REF!</definedName>
    <definedName name="bgtff" localSheetId="17">#REF!</definedName>
    <definedName name="bgtff" localSheetId="18">#REF!</definedName>
    <definedName name="bgtff" localSheetId="19">#REF!</definedName>
    <definedName name="bgtff" localSheetId="2">#REF!</definedName>
    <definedName name="bgtff" localSheetId="20">#REF!</definedName>
    <definedName name="bgtff" localSheetId="21">#REF!</definedName>
    <definedName name="bgtff" localSheetId="23">#REF!</definedName>
    <definedName name="bgtff" localSheetId="3">#REF!</definedName>
    <definedName name="bgtff" localSheetId="5">#REF!</definedName>
    <definedName name="bgtff" localSheetId="6">#REF!</definedName>
    <definedName name="bgtff" localSheetId="8">#REF!</definedName>
    <definedName name="bgtff" localSheetId="0">#REF!</definedName>
    <definedName name="bgtff">#REF!</definedName>
    <definedName name="bhgttyu" localSheetId="4">#REF!</definedName>
    <definedName name="bhgttyu" localSheetId="9">#REF!</definedName>
    <definedName name="bhgttyu" localSheetId="1">#REF!</definedName>
    <definedName name="bhgttyu" localSheetId="14">#REF!</definedName>
    <definedName name="bhgttyu" localSheetId="15">#REF!</definedName>
    <definedName name="bhgttyu" localSheetId="16">#REF!</definedName>
    <definedName name="bhgttyu" localSheetId="17">#REF!</definedName>
    <definedName name="bhgttyu" localSheetId="18">#REF!</definedName>
    <definedName name="bhgttyu" localSheetId="19">#REF!</definedName>
    <definedName name="bhgttyu" localSheetId="2">#REF!</definedName>
    <definedName name="bhgttyu" localSheetId="20">#REF!</definedName>
    <definedName name="bhgttyu" localSheetId="21">#REF!</definedName>
    <definedName name="bhgttyu" localSheetId="23">#REF!</definedName>
    <definedName name="bhgttyu" localSheetId="3">#REF!</definedName>
    <definedName name="bhgttyu" localSheetId="5">#REF!</definedName>
    <definedName name="bhgttyu" localSheetId="6">#REF!</definedName>
    <definedName name="bhgttyu" localSheetId="8">#REF!</definedName>
    <definedName name="bhgttyu" localSheetId="0">#REF!</definedName>
    <definedName name="bhgttyu">#REF!</definedName>
    <definedName name="bmmb" localSheetId="4">#REF!</definedName>
    <definedName name="bmmb" localSheetId="9">#REF!</definedName>
    <definedName name="bmmb" localSheetId="1">#REF!</definedName>
    <definedName name="bmmb" localSheetId="14">#REF!</definedName>
    <definedName name="bmmb" localSheetId="15">#REF!</definedName>
    <definedName name="bmmb" localSheetId="16">#REF!</definedName>
    <definedName name="bmmb" localSheetId="17">#REF!</definedName>
    <definedName name="bmmb" localSheetId="18">#REF!</definedName>
    <definedName name="bmmb" localSheetId="19">#REF!</definedName>
    <definedName name="bmmb" localSheetId="2">#REF!</definedName>
    <definedName name="bmmb" localSheetId="20">#REF!</definedName>
    <definedName name="bmmb" localSheetId="21">#REF!</definedName>
    <definedName name="bmmb" localSheetId="23">#REF!</definedName>
    <definedName name="bmmb" localSheetId="3">#REF!</definedName>
    <definedName name="bmmb" localSheetId="5">#REF!</definedName>
    <definedName name="bmmb" localSheetId="6">#REF!</definedName>
    <definedName name="bmmb" localSheetId="8">#REF!</definedName>
    <definedName name="bmmb" localSheetId="0">#REF!</definedName>
    <definedName name="bmmb">#REF!</definedName>
    <definedName name="cc" localSheetId="4">#REF!</definedName>
    <definedName name="cc" localSheetId="9">#REF!</definedName>
    <definedName name="cc" localSheetId="1">#REF!</definedName>
    <definedName name="cc" localSheetId="14">#REF!</definedName>
    <definedName name="cc" localSheetId="15">#REF!</definedName>
    <definedName name="cc" localSheetId="16">#REF!</definedName>
    <definedName name="cc" localSheetId="17">#REF!</definedName>
    <definedName name="cc" localSheetId="18">#REF!</definedName>
    <definedName name="cc" localSheetId="19">#REF!</definedName>
    <definedName name="cc" localSheetId="2">#REF!</definedName>
    <definedName name="cc" localSheetId="20">#REF!</definedName>
    <definedName name="cc" localSheetId="21">#REF!</definedName>
    <definedName name="cc" localSheetId="23">#REF!</definedName>
    <definedName name="cc" localSheetId="3">#REF!</definedName>
    <definedName name="cc" localSheetId="5">#REF!</definedName>
    <definedName name="cc" localSheetId="6">#REF!</definedName>
    <definedName name="cc" localSheetId="8">#REF!</definedName>
    <definedName name="cc" localSheetId="0">#REF!</definedName>
    <definedName name="cc">#REF!</definedName>
    <definedName name="Centrodi_costa" localSheetId="4">#REF!</definedName>
    <definedName name="Centrodi_costa" localSheetId="9">#REF!</definedName>
    <definedName name="Centrodi_costa" localSheetId="1">#REF!</definedName>
    <definedName name="Centrodi_costa" localSheetId="14">#REF!</definedName>
    <definedName name="Centrodi_costa" localSheetId="15">#REF!</definedName>
    <definedName name="Centrodi_costa" localSheetId="16">#REF!</definedName>
    <definedName name="Centrodi_costa" localSheetId="17">#REF!</definedName>
    <definedName name="Centrodi_costa" localSheetId="18">#REF!</definedName>
    <definedName name="Centrodi_costa" localSheetId="19">#REF!</definedName>
    <definedName name="Centrodi_costa" localSheetId="2">#REF!</definedName>
    <definedName name="Centrodi_costa" localSheetId="20">#REF!</definedName>
    <definedName name="Centrodi_costa" localSheetId="21">#REF!</definedName>
    <definedName name="Centrodi_costa" localSheetId="23">#REF!</definedName>
    <definedName name="Centrodi_costa" localSheetId="3">#REF!</definedName>
    <definedName name="Centrodi_costa" localSheetId="5">#REF!</definedName>
    <definedName name="Centrodi_costa" localSheetId="6">#REF!</definedName>
    <definedName name="Centrodi_costa" localSheetId="8">#REF!</definedName>
    <definedName name="Centrodi_costa" localSheetId="0">#REF!</definedName>
    <definedName name="Centrodi_costa">#REF!</definedName>
    <definedName name="cf" localSheetId="4">#REF!</definedName>
    <definedName name="cf" localSheetId="9">#REF!</definedName>
    <definedName name="cf" localSheetId="1">#REF!</definedName>
    <definedName name="cf" localSheetId="14">#REF!</definedName>
    <definedName name="cf" localSheetId="15">#REF!</definedName>
    <definedName name="cf" localSheetId="16">#REF!</definedName>
    <definedName name="cf" localSheetId="17">#REF!</definedName>
    <definedName name="cf" localSheetId="18">#REF!</definedName>
    <definedName name="cf" localSheetId="19">#REF!</definedName>
    <definedName name="cf" localSheetId="2">#REF!</definedName>
    <definedName name="cf" localSheetId="20">#REF!</definedName>
    <definedName name="cf" localSheetId="21">#REF!</definedName>
    <definedName name="cf" localSheetId="23">#REF!</definedName>
    <definedName name="cf" localSheetId="3">#REF!</definedName>
    <definedName name="cf" localSheetId="5">#REF!</definedName>
    <definedName name="cf" localSheetId="6">#REF!</definedName>
    <definedName name="cf" localSheetId="8">#REF!</definedName>
    <definedName name="cf" localSheetId="0">#REF!</definedName>
    <definedName name="cf">#REF!</definedName>
    <definedName name="cftg" localSheetId="4">#REF!</definedName>
    <definedName name="cftg" localSheetId="9">#REF!</definedName>
    <definedName name="cftg" localSheetId="1">#REF!</definedName>
    <definedName name="cftg" localSheetId="14">#REF!</definedName>
    <definedName name="cftg" localSheetId="15">#REF!</definedName>
    <definedName name="cftg" localSheetId="16">#REF!</definedName>
    <definedName name="cftg" localSheetId="17">#REF!</definedName>
    <definedName name="cftg" localSheetId="18">#REF!</definedName>
    <definedName name="cftg" localSheetId="19">#REF!</definedName>
    <definedName name="cftg" localSheetId="2">#REF!</definedName>
    <definedName name="cftg" localSheetId="20">#REF!</definedName>
    <definedName name="cftg" localSheetId="21">#REF!</definedName>
    <definedName name="cftg" localSheetId="23">#REF!</definedName>
    <definedName name="cftg" localSheetId="3">#REF!</definedName>
    <definedName name="cftg" localSheetId="5">#REF!</definedName>
    <definedName name="cftg" localSheetId="6">#REF!</definedName>
    <definedName name="cftg" localSheetId="8">#REF!</definedName>
    <definedName name="cftg" localSheetId="0">#REF!</definedName>
    <definedName name="cftg">#REF!</definedName>
    <definedName name="cftgmic" localSheetId="4">#REF!</definedName>
    <definedName name="cftgmic" localSheetId="9">#REF!</definedName>
    <definedName name="cftgmic" localSheetId="1">#REF!</definedName>
    <definedName name="cftgmic" localSheetId="14">#REF!</definedName>
    <definedName name="cftgmic" localSheetId="15">#REF!</definedName>
    <definedName name="cftgmic" localSheetId="16">#REF!</definedName>
    <definedName name="cftgmic" localSheetId="17">#REF!</definedName>
    <definedName name="cftgmic" localSheetId="18">#REF!</definedName>
    <definedName name="cftgmic" localSheetId="19">#REF!</definedName>
    <definedName name="cftgmic" localSheetId="2">#REF!</definedName>
    <definedName name="cftgmic" localSheetId="20">#REF!</definedName>
    <definedName name="cftgmic" localSheetId="21">#REF!</definedName>
    <definedName name="cftgmic" localSheetId="23">#REF!</definedName>
    <definedName name="cftgmic" localSheetId="3">#REF!</definedName>
    <definedName name="cftgmic" localSheetId="5">#REF!</definedName>
    <definedName name="cftgmic" localSheetId="6">#REF!</definedName>
    <definedName name="cftgmic" localSheetId="8">#REF!</definedName>
    <definedName name="cftgmic" localSheetId="0">#REF!</definedName>
    <definedName name="cftgmic">#REF!</definedName>
    <definedName name="cjk" localSheetId="4">#REF!</definedName>
    <definedName name="cjk" localSheetId="9">#REF!</definedName>
    <definedName name="cjk" localSheetId="1">#REF!</definedName>
    <definedName name="cjk" localSheetId="14">#REF!</definedName>
    <definedName name="cjk" localSheetId="15">#REF!</definedName>
    <definedName name="cjk" localSheetId="16">#REF!</definedName>
    <definedName name="cjk" localSheetId="17">#REF!</definedName>
    <definedName name="cjk" localSheetId="18">#REF!</definedName>
    <definedName name="cjk" localSheetId="19">#REF!</definedName>
    <definedName name="cjk" localSheetId="2">#REF!</definedName>
    <definedName name="cjk" localSheetId="20">#REF!</definedName>
    <definedName name="cjk" localSheetId="21">#REF!</definedName>
    <definedName name="cjk" localSheetId="23">#REF!</definedName>
    <definedName name="cjk" localSheetId="3">#REF!</definedName>
    <definedName name="cjk" localSheetId="5">#REF!</definedName>
    <definedName name="cjk" localSheetId="6">#REF!</definedName>
    <definedName name="cjk" localSheetId="8">#REF!</definedName>
    <definedName name="cjk" localSheetId="0">#REF!</definedName>
    <definedName name="cjk">#REF!</definedName>
    <definedName name="Comuni" localSheetId="4">#REF!</definedName>
    <definedName name="Comuni" localSheetId="9">#REF!</definedName>
    <definedName name="Comuni" localSheetId="1">#REF!</definedName>
    <definedName name="Comuni" localSheetId="14">#REF!</definedName>
    <definedName name="Comuni" localSheetId="15">#REF!</definedName>
    <definedName name="Comuni" localSheetId="16">#REF!</definedName>
    <definedName name="Comuni" localSheetId="17">#REF!</definedName>
    <definedName name="Comuni" localSheetId="18">#REF!</definedName>
    <definedName name="Comuni" localSheetId="19">#REF!</definedName>
    <definedName name="Comuni" localSheetId="2">#REF!</definedName>
    <definedName name="Comuni" localSheetId="20">#REF!</definedName>
    <definedName name="Comuni" localSheetId="21">#REF!</definedName>
    <definedName name="Comuni" localSheetId="23">#REF!</definedName>
    <definedName name="Comuni" localSheetId="3">#REF!</definedName>
    <definedName name="Comuni" localSheetId="5">#REF!</definedName>
    <definedName name="Comuni" localSheetId="6">#REF!</definedName>
    <definedName name="Comuni" localSheetId="8">#REF!</definedName>
    <definedName name="Comuni" localSheetId="0">#REF!</definedName>
    <definedName name="Comuni">#REF!</definedName>
    <definedName name="_xlnm.Criteria" localSheetId="4">#REF!</definedName>
    <definedName name="_xlnm.Criteria" localSheetId="9">#REF!</definedName>
    <definedName name="_xlnm.Criteria" localSheetId="1">#REF!</definedName>
    <definedName name="_xlnm.Criteria" localSheetId="14">#REF!</definedName>
    <definedName name="_xlnm.Criteria" localSheetId="15">#REF!</definedName>
    <definedName name="_xlnm.Criteria" localSheetId="16">#REF!</definedName>
    <definedName name="_xlnm.Criteria" localSheetId="17">#REF!</definedName>
    <definedName name="_xlnm.Criteria" localSheetId="18">#REF!</definedName>
    <definedName name="_xlnm.Criteria" localSheetId="19">#REF!</definedName>
    <definedName name="_xlnm.Criteria" localSheetId="2">#REF!</definedName>
    <definedName name="_xlnm.Criteria" localSheetId="20">#REF!</definedName>
    <definedName name="_xlnm.Criteria" localSheetId="21">#REF!</definedName>
    <definedName name="_xlnm.Criteria" localSheetId="23">#REF!</definedName>
    <definedName name="_xlnm.Criteria" localSheetId="3">#REF!</definedName>
    <definedName name="_xlnm.Criteria" localSheetId="5">#REF!</definedName>
    <definedName name="_xlnm.Criteria" localSheetId="6">#REF!</definedName>
    <definedName name="_xlnm.Criteria" localSheetId="8">#REF!</definedName>
    <definedName name="_xlnm.Criteria" localSheetId="0">#REF!</definedName>
    <definedName name="_xlnm.Criteria">#REF!</definedName>
    <definedName name="cvf" localSheetId="4">#REF!</definedName>
    <definedName name="cvf" localSheetId="9">#REF!</definedName>
    <definedName name="cvf" localSheetId="1">#REF!</definedName>
    <definedName name="cvf" localSheetId="14">#REF!</definedName>
    <definedName name="cvf" localSheetId="15">#REF!</definedName>
    <definedName name="cvf" localSheetId="16">#REF!</definedName>
    <definedName name="cvf" localSheetId="17">#REF!</definedName>
    <definedName name="cvf" localSheetId="18">#REF!</definedName>
    <definedName name="cvf" localSheetId="19">#REF!</definedName>
    <definedName name="cvf" localSheetId="2">#REF!</definedName>
    <definedName name="cvf" localSheetId="20">#REF!</definedName>
    <definedName name="cvf" localSheetId="21">#REF!</definedName>
    <definedName name="cvf" localSheetId="23">#REF!</definedName>
    <definedName name="cvf" localSheetId="3">#REF!</definedName>
    <definedName name="cvf" localSheetId="5">#REF!</definedName>
    <definedName name="cvf" localSheetId="6">#REF!</definedName>
    <definedName name="cvf" localSheetId="8">#REF!</definedName>
    <definedName name="cvf" localSheetId="0">#REF!</definedName>
    <definedName name="cvf">#REF!</definedName>
    <definedName name="cvfds" localSheetId="4">#REF!</definedName>
    <definedName name="cvfds" localSheetId="9">#REF!</definedName>
    <definedName name="cvfds" localSheetId="1">#REF!</definedName>
    <definedName name="cvfds" localSheetId="14">#REF!</definedName>
    <definedName name="cvfds" localSheetId="15">#REF!</definedName>
    <definedName name="cvfds" localSheetId="16">#REF!</definedName>
    <definedName name="cvfds" localSheetId="17">#REF!</definedName>
    <definedName name="cvfds" localSheetId="18">#REF!</definedName>
    <definedName name="cvfds" localSheetId="19">#REF!</definedName>
    <definedName name="cvfds" localSheetId="2">#REF!</definedName>
    <definedName name="cvfds" localSheetId="20">#REF!</definedName>
    <definedName name="cvfds" localSheetId="21">#REF!</definedName>
    <definedName name="cvfds" localSheetId="23">#REF!</definedName>
    <definedName name="cvfds" localSheetId="3">#REF!</definedName>
    <definedName name="cvfds" localSheetId="5">#REF!</definedName>
    <definedName name="cvfds" localSheetId="6">#REF!</definedName>
    <definedName name="cvfds" localSheetId="8">#REF!</definedName>
    <definedName name="cvfds" localSheetId="0">#REF!</definedName>
    <definedName name="cvfds">#REF!</definedName>
    <definedName name="cvfrt" localSheetId="4">#REF!</definedName>
    <definedName name="cvfrt" localSheetId="9">#REF!</definedName>
    <definedName name="cvfrt" localSheetId="1">#REF!</definedName>
    <definedName name="cvfrt" localSheetId="14">#REF!</definedName>
    <definedName name="cvfrt" localSheetId="15">#REF!</definedName>
    <definedName name="cvfrt" localSheetId="16">#REF!</definedName>
    <definedName name="cvfrt" localSheetId="17">#REF!</definedName>
    <definedName name="cvfrt" localSheetId="18">#REF!</definedName>
    <definedName name="cvfrt" localSheetId="19">#REF!</definedName>
    <definedName name="cvfrt" localSheetId="2">#REF!</definedName>
    <definedName name="cvfrt" localSheetId="20">#REF!</definedName>
    <definedName name="cvfrt" localSheetId="21">#REF!</definedName>
    <definedName name="cvfrt" localSheetId="23">#REF!</definedName>
    <definedName name="cvfrt" localSheetId="3">#REF!</definedName>
    <definedName name="cvfrt" localSheetId="5">#REF!</definedName>
    <definedName name="cvfrt" localSheetId="6">#REF!</definedName>
    <definedName name="cvfrt" localSheetId="8">#REF!</definedName>
    <definedName name="cvfrt" localSheetId="0">#REF!</definedName>
    <definedName name="cvfrt">#REF!</definedName>
    <definedName name="cvghh" localSheetId="4">#REF!</definedName>
    <definedName name="cvghh" localSheetId="9">#REF!</definedName>
    <definedName name="cvghh" localSheetId="1">#REF!</definedName>
    <definedName name="cvghh" localSheetId="14">#REF!</definedName>
    <definedName name="cvghh" localSheetId="15">#REF!</definedName>
    <definedName name="cvghh" localSheetId="16">#REF!</definedName>
    <definedName name="cvghh" localSheetId="17">#REF!</definedName>
    <definedName name="cvghh" localSheetId="18">#REF!</definedName>
    <definedName name="cvghh" localSheetId="19">#REF!</definedName>
    <definedName name="cvghh" localSheetId="2">#REF!</definedName>
    <definedName name="cvghh" localSheetId="20">#REF!</definedName>
    <definedName name="cvghh" localSheetId="21">#REF!</definedName>
    <definedName name="cvghh" localSheetId="23">#REF!</definedName>
    <definedName name="cvghh" localSheetId="3">#REF!</definedName>
    <definedName name="cvghh" localSheetId="5">#REF!</definedName>
    <definedName name="cvghh" localSheetId="6">#REF!</definedName>
    <definedName name="cvghh" localSheetId="8">#REF!</definedName>
    <definedName name="cvghh" localSheetId="0">#REF!</definedName>
    <definedName name="cvghh">#REF!</definedName>
    <definedName name="d" localSheetId="4">#REF!</definedName>
    <definedName name="d" localSheetId="9">#REF!</definedName>
    <definedName name="d" localSheetId="1">#REF!</definedName>
    <definedName name="d" localSheetId="14">#REF!</definedName>
    <definedName name="d" localSheetId="15">#REF!</definedName>
    <definedName name="d" localSheetId="16">#REF!</definedName>
    <definedName name="d" localSheetId="17">#REF!</definedName>
    <definedName name="d" localSheetId="18">#REF!</definedName>
    <definedName name="d" localSheetId="19">#REF!</definedName>
    <definedName name="d" localSheetId="2">#REF!</definedName>
    <definedName name="d" localSheetId="20">#REF!</definedName>
    <definedName name="d" localSheetId="21">#REF!</definedName>
    <definedName name="d" localSheetId="23">#REF!</definedName>
    <definedName name="d" localSheetId="3">#REF!</definedName>
    <definedName name="d" localSheetId="5">#REF!</definedName>
    <definedName name="d" localSheetId="6">#REF!</definedName>
    <definedName name="d" localSheetId="8">#REF!</definedName>
    <definedName name="d" localSheetId="0">#REF!</definedName>
    <definedName name="d">#REF!</definedName>
    <definedName name="dad" localSheetId="4">#REF!</definedName>
    <definedName name="dad" localSheetId="9">#REF!</definedName>
    <definedName name="dad" localSheetId="1">#REF!</definedName>
    <definedName name="dad" localSheetId="14">#REF!</definedName>
    <definedName name="dad" localSheetId="15">#REF!</definedName>
    <definedName name="dad" localSheetId="16">#REF!</definedName>
    <definedName name="dad" localSheetId="17">#REF!</definedName>
    <definedName name="dad" localSheetId="18">#REF!</definedName>
    <definedName name="dad" localSheetId="19">#REF!</definedName>
    <definedName name="dad" localSheetId="2">#REF!</definedName>
    <definedName name="dad" localSheetId="20">#REF!</definedName>
    <definedName name="dad" localSheetId="21">#REF!</definedName>
    <definedName name="dad" localSheetId="23">#REF!</definedName>
    <definedName name="dad" localSheetId="3">#REF!</definedName>
    <definedName name="dad" localSheetId="5">#REF!</definedName>
    <definedName name="dad" localSheetId="6">#REF!</definedName>
    <definedName name="dad" localSheetId="8">#REF!</definedName>
    <definedName name="dad" localSheetId="0">#REF!</definedName>
    <definedName name="dad">#REF!</definedName>
    <definedName name="daddo" localSheetId="4">#REF!</definedName>
    <definedName name="daddo" localSheetId="9">#REF!</definedName>
    <definedName name="daddo" localSheetId="1">#REF!</definedName>
    <definedName name="daddo" localSheetId="14">#REF!</definedName>
    <definedName name="daddo" localSheetId="15">#REF!</definedName>
    <definedName name="daddo" localSheetId="16">#REF!</definedName>
    <definedName name="daddo" localSheetId="17">#REF!</definedName>
    <definedName name="daddo" localSheetId="18">#REF!</definedName>
    <definedName name="daddo" localSheetId="19">#REF!</definedName>
    <definedName name="daddo" localSheetId="2">#REF!</definedName>
    <definedName name="daddo" localSheetId="20">#REF!</definedName>
    <definedName name="daddo" localSheetId="21">#REF!</definedName>
    <definedName name="daddo" localSheetId="23">#REF!</definedName>
    <definedName name="daddo" localSheetId="3">#REF!</definedName>
    <definedName name="daddo" localSheetId="5">#REF!</definedName>
    <definedName name="daddo" localSheetId="6">#REF!</definedName>
    <definedName name="daddo" localSheetId="8">#REF!</definedName>
    <definedName name="daddo" localSheetId="0">#REF!</definedName>
    <definedName name="daddo">#REF!</definedName>
    <definedName name="dadmic" localSheetId="4">#REF!</definedName>
    <definedName name="dadmic" localSheetId="9">#REF!</definedName>
    <definedName name="dadmic" localSheetId="1">#REF!</definedName>
    <definedName name="dadmic" localSheetId="14">#REF!</definedName>
    <definedName name="dadmic" localSheetId="15">#REF!</definedName>
    <definedName name="dadmic" localSheetId="16">#REF!</definedName>
    <definedName name="dadmic" localSheetId="17">#REF!</definedName>
    <definedName name="dadmic" localSheetId="18">#REF!</definedName>
    <definedName name="dadmic" localSheetId="19">#REF!</definedName>
    <definedName name="dadmic" localSheetId="2">#REF!</definedName>
    <definedName name="dadmic" localSheetId="20">#REF!</definedName>
    <definedName name="dadmic" localSheetId="21">#REF!</definedName>
    <definedName name="dadmic" localSheetId="23">#REF!</definedName>
    <definedName name="dadmic" localSheetId="3">#REF!</definedName>
    <definedName name="dadmic" localSheetId="5">#REF!</definedName>
    <definedName name="dadmic" localSheetId="6">#REF!</definedName>
    <definedName name="dadmic" localSheetId="8">#REF!</definedName>
    <definedName name="dadmic" localSheetId="0">#REF!</definedName>
    <definedName name="dadmic">#REF!</definedName>
    <definedName name="_xlnm.Database" localSheetId="4">#REF!</definedName>
    <definedName name="_xlnm.Database" localSheetId="9">#REF!</definedName>
    <definedName name="_xlnm.Database" localSheetId="1">#REF!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8">#REF!</definedName>
    <definedName name="_xlnm.Database" localSheetId="19">#REF!</definedName>
    <definedName name="_xlnm.Database" localSheetId="2">#REF!</definedName>
    <definedName name="_xlnm.Database" localSheetId="20">#REF!</definedName>
    <definedName name="_xlnm.Database" localSheetId="21">#REF!</definedName>
    <definedName name="_xlnm.Database" localSheetId="23">#REF!</definedName>
    <definedName name="_xlnm.Database" localSheetId="3">#REF!</definedName>
    <definedName name="_xlnm.Database" localSheetId="5">#REF!</definedName>
    <definedName name="_xlnm.Database" localSheetId="6">#REF!</definedName>
    <definedName name="_xlnm.Database" localSheetId="8">#REF!</definedName>
    <definedName name="_xlnm.Database" localSheetId="0">#REF!</definedName>
    <definedName name="_xlnm.Database">#REF!</definedName>
    <definedName name="dd" localSheetId="4">#REF!</definedName>
    <definedName name="dd" localSheetId="9">#REF!</definedName>
    <definedName name="dd" localSheetId="1">#REF!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#REF!</definedName>
    <definedName name="dd" localSheetId="20">#REF!</definedName>
    <definedName name="dd" localSheetId="21">#REF!</definedName>
    <definedName name="dd" localSheetId="23">#REF!</definedName>
    <definedName name="dd" localSheetId="3">#REF!</definedName>
    <definedName name="dd" localSheetId="5">#REF!</definedName>
    <definedName name="dd" localSheetId="6">#REF!</definedName>
    <definedName name="dd" localSheetId="8">#REF!</definedName>
    <definedName name="dd" localSheetId="0">#REF!</definedName>
    <definedName name="dd">#REF!</definedName>
    <definedName name="ddd" localSheetId="4">#REF!</definedName>
    <definedName name="ddd" localSheetId="9">#REF!</definedName>
    <definedName name="ddd" localSheetId="1">#REF!</definedName>
    <definedName name="ddd" localSheetId="14">#REF!</definedName>
    <definedName name="ddd" localSheetId="15">#REF!</definedName>
    <definedName name="ddd" localSheetId="16">#REF!</definedName>
    <definedName name="ddd" localSheetId="17">#REF!</definedName>
    <definedName name="ddd" localSheetId="18">#REF!</definedName>
    <definedName name="ddd" localSheetId="19">#REF!</definedName>
    <definedName name="ddd" localSheetId="2">#REF!</definedName>
    <definedName name="ddd" localSheetId="20">#REF!</definedName>
    <definedName name="ddd" localSheetId="21">#REF!</definedName>
    <definedName name="ddd" localSheetId="23">#REF!</definedName>
    <definedName name="ddd" localSheetId="3">#REF!</definedName>
    <definedName name="ddd" localSheetId="5">#REF!</definedName>
    <definedName name="ddd" localSheetId="6">#REF!</definedName>
    <definedName name="ddd" localSheetId="8">#REF!</definedName>
    <definedName name="ddd" localSheetId="0">#REF!</definedName>
    <definedName name="ddd">#REF!</definedName>
    <definedName name="ded" localSheetId="4">#REF!</definedName>
    <definedName name="ded" localSheetId="9">#REF!</definedName>
    <definedName name="ded" localSheetId="1">#REF!</definedName>
    <definedName name="ded" localSheetId="14">#REF!</definedName>
    <definedName name="ded" localSheetId="15">#REF!</definedName>
    <definedName name="ded" localSheetId="16">#REF!</definedName>
    <definedName name="ded" localSheetId="17">#REF!</definedName>
    <definedName name="ded" localSheetId="18">#REF!</definedName>
    <definedName name="ded" localSheetId="19">#REF!</definedName>
    <definedName name="ded" localSheetId="2">#REF!</definedName>
    <definedName name="ded" localSheetId="20">#REF!</definedName>
    <definedName name="ded" localSheetId="21">#REF!</definedName>
    <definedName name="ded" localSheetId="23">#REF!</definedName>
    <definedName name="ded" localSheetId="3">#REF!</definedName>
    <definedName name="ded" localSheetId="5">#REF!</definedName>
    <definedName name="ded" localSheetId="6">#REF!</definedName>
    <definedName name="ded" localSheetId="8">#REF!</definedName>
    <definedName name="ded" localSheetId="0">#REF!</definedName>
    <definedName name="ded">#REF!</definedName>
    <definedName name="dewwed" localSheetId="4">#REF!</definedName>
    <definedName name="dewwed" localSheetId="9">#REF!</definedName>
    <definedName name="dewwed" localSheetId="1">#REF!</definedName>
    <definedName name="dewwed" localSheetId="14">#REF!</definedName>
    <definedName name="dewwed" localSheetId="15">#REF!</definedName>
    <definedName name="dewwed" localSheetId="16">#REF!</definedName>
    <definedName name="dewwed" localSheetId="17">#REF!</definedName>
    <definedName name="dewwed" localSheetId="18">#REF!</definedName>
    <definedName name="dewwed" localSheetId="19">#REF!</definedName>
    <definedName name="dewwed" localSheetId="2">#REF!</definedName>
    <definedName name="dewwed" localSheetId="20">#REF!</definedName>
    <definedName name="dewwed" localSheetId="21">#REF!</definedName>
    <definedName name="dewwed" localSheetId="23">#REF!</definedName>
    <definedName name="dewwed" localSheetId="3">#REF!</definedName>
    <definedName name="dewwed" localSheetId="5">#REF!</definedName>
    <definedName name="dewwed" localSheetId="6">#REF!</definedName>
    <definedName name="dewwed" localSheetId="8">#REF!</definedName>
    <definedName name="dewwed" localSheetId="0">#REF!</definedName>
    <definedName name="dewwed">#REF!</definedName>
    <definedName name="df" localSheetId="4">#REF!</definedName>
    <definedName name="df" localSheetId="9">#REF!</definedName>
    <definedName name="df" localSheetId="1">#REF!</definedName>
    <definedName name="df" localSheetId="14">#REF!</definedName>
    <definedName name="df" localSheetId="15">#REF!</definedName>
    <definedName name="df" localSheetId="16">#REF!</definedName>
    <definedName name="df" localSheetId="17">#REF!</definedName>
    <definedName name="df" localSheetId="18">#REF!</definedName>
    <definedName name="df" localSheetId="19">#REF!</definedName>
    <definedName name="df" localSheetId="2">#REF!</definedName>
    <definedName name="df" localSheetId="20">#REF!</definedName>
    <definedName name="df" localSheetId="21">#REF!</definedName>
    <definedName name="df" localSheetId="23">#REF!</definedName>
    <definedName name="df" localSheetId="3">#REF!</definedName>
    <definedName name="df" localSheetId="5">#REF!</definedName>
    <definedName name="df" localSheetId="6">#REF!</definedName>
    <definedName name="df" localSheetId="8">#REF!</definedName>
    <definedName name="df" localSheetId="0">#REF!</definedName>
    <definedName name="df">#REF!</definedName>
    <definedName name="dfgcv" localSheetId="4">#REF!</definedName>
    <definedName name="dfgcv" localSheetId="9">#REF!</definedName>
    <definedName name="dfgcv" localSheetId="1">#REF!</definedName>
    <definedName name="dfgcv" localSheetId="14">#REF!</definedName>
    <definedName name="dfgcv" localSheetId="15">#REF!</definedName>
    <definedName name="dfgcv" localSheetId="16">#REF!</definedName>
    <definedName name="dfgcv" localSheetId="17">#REF!</definedName>
    <definedName name="dfgcv" localSheetId="18">#REF!</definedName>
    <definedName name="dfgcv" localSheetId="19">#REF!</definedName>
    <definedName name="dfgcv" localSheetId="2">#REF!</definedName>
    <definedName name="dfgcv" localSheetId="20">#REF!</definedName>
    <definedName name="dfgcv" localSheetId="21">#REF!</definedName>
    <definedName name="dfgcv" localSheetId="23">#REF!</definedName>
    <definedName name="dfgcv" localSheetId="3">#REF!</definedName>
    <definedName name="dfgcv" localSheetId="5">#REF!</definedName>
    <definedName name="dfgcv" localSheetId="6">#REF!</definedName>
    <definedName name="dfgcv" localSheetId="8">#REF!</definedName>
    <definedName name="dfgcv" localSheetId="0">#REF!</definedName>
    <definedName name="dfgcv">#REF!</definedName>
    <definedName name="dfgr" localSheetId="4">#REF!</definedName>
    <definedName name="dfgr" localSheetId="9">#REF!</definedName>
    <definedName name="dfgr" localSheetId="1">#REF!</definedName>
    <definedName name="dfgr" localSheetId="14">#REF!</definedName>
    <definedName name="dfgr" localSheetId="15">#REF!</definedName>
    <definedName name="dfgr" localSheetId="16">#REF!</definedName>
    <definedName name="dfgr" localSheetId="17">#REF!</definedName>
    <definedName name="dfgr" localSheetId="18">#REF!</definedName>
    <definedName name="dfgr" localSheetId="19">#REF!</definedName>
    <definedName name="dfgr" localSheetId="2">#REF!</definedName>
    <definedName name="dfgr" localSheetId="20">#REF!</definedName>
    <definedName name="dfgr" localSheetId="21">#REF!</definedName>
    <definedName name="dfgr" localSheetId="23">#REF!</definedName>
    <definedName name="dfgr" localSheetId="3">#REF!</definedName>
    <definedName name="dfgr" localSheetId="5">#REF!</definedName>
    <definedName name="dfgr" localSheetId="6">#REF!</definedName>
    <definedName name="dfgr" localSheetId="8">#REF!</definedName>
    <definedName name="dfgr" localSheetId="0">#REF!</definedName>
    <definedName name="dfgr">#REF!</definedName>
    <definedName name="dsert" localSheetId="4">#REF!</definedName>
    <definedName name="dsert" localSheetId="9">#REF!</definedName>
    <definedName name="dsert" localSheetId="1">#REF!</definedName>
    <definedName name="dsert" localSheetId="14">#REF!</definedName>
    <definedName name="dsert" localSheetId="15">#REF!</definedName>
    <definedName name="dsert" localSheetId="16">#REF!</definedName>
    <definedName name="dsert" localSheetId="17">#REF!</definedName>
    <definedName name="dsert" localSheetId="18">#REF!</definedName>
    <definedName name="dsert" localSheetId="19">#REF!</definedName>
    <definedName name="dsert" localSheetId="2">#REF!</definedName>
    <definedName name="dsert" localSheetId="20">#REF!</definedName>
    <definedName name="dsert" localSheetId="21">#REF!</definedName>
    <definedName name="dsert" localSheetId="23">#REF!</definedName>
    <definedName name="dsert" localSheetId="3">#REF!</definedName>
    <definedName name="dsert" localSheetId="5">#REF!</definedName>
    <definedName name="dsert" localSheetId="6">#REF!</definedName>
    <definedName name="dsert" localSheetId="8">#REF!</definedName>
    <definedName name="dsert" localSheetId="0">#REF!</definedName>
    <definedName name="dsert">#REF!</definedName>
    <definedName name="E" localSheetId="4">#REF!</definedName>
    <definedName name="E" localSheetId="9">#REF!</definedName>
    <definedName name="E" localSheetId="1">#REF!</definedName>
    <definedName name="E" localSheetId="14">#REF!</definedName>
    <definedName name="E" localSheetId="15">#REF!</definedName>
    <definedName name="E" localSheetId="16">#REF!</definedName>
    <definedName name="E" localSheetId="17">#REF!</definedName>
    <definedName name="E" localSheetId="18">#REF!</definedName>
    <definedName name="E" localSheetId="19">#REF!</definedName>
    <definedName name="E" localSheetId="2">#REF!</definedName>
    <definedName name="E" localSheetId="20">#REF!</definedName>
    <definedName name="E" localSheetId="21">#REF!</definedName>
    <definedName name="E" localSheetId="23">#REF!</definedName>
    <definedName name="E" localSheetId="3">#REF!</definedName>
    <definedName name="E" localSheetId="5">#REF!</definedName>
    <definedName name="E" localSheetId="6">#REF!</definedName>
    <definedName name="E" localSheetId="8">#REF!</definedName>
    <definedName name="E" localSheetId="0">#REF!</definedName>
    <definedName name="E">#REF!</definedName>
    <definedName name="ee" localSheetId="4">#REF!</definedName>
    <definedName name="ee" localSheetId="23">#REF!</definedName>
    <definedName name="ee" localSheetId="5">#REF!</definedName>
    <definedName name="ee" localSheetId="8">#REF!</definedName>
    <definedName name="ee">#REF!</definedName>
    <definedName name="eee" localSheetId="4">#REF!</definedName>
    <definedName name="eee" localSheetId="9">#REF!</definedName>
    <definedName name="eee" localSheetId="1">#REF!</definedName>
    <definedName name="eee" localSheetId="14">#REF!</definedName>
    <definedName name="eee" localSheetId="15">#REF!</definedName>
    <definedName name="eee" localSheetId="16">#REF!</definedName>
    <definedName name="eee" localSheetId="17">#REF!</definedName>
    <definedName name="eee" localSheetId="18">#REF!</definedName>
    <definedName name="eee" localSheetId="19">#REF!</definedName>
    <definedName name="eee" localSheetId="2">#REF!</definedName>
    <definedName name="eee" localSheetId="20">#REF!</definedName>
    <definedName name="eee" localSheetId="21">#REF!</definedName>
    <definedName name="eee" localSheetId="23">#REF!</definedName>
    <definedName name="eee" localSheetId="3">#REF!</definedName>
    <definedName name="eee" localSheetId="5">#REF!</definedName>
    <definedName name="eee" localSheetId="6">#REF!</definedName>
    <definedName name="eee" localSheetId="8">#REF!</definedName>
    <definedName name="eee" localSheetId="0">#REF!</definedName>
    <definedName name="eee">#REF!</definedName>
    <definedName name="ehgheg" localSheetId="4">#REF!</definedName>
    <definedName name="ehgheg" localSheetId="9">#REF!</definedName>
    <definedName name="ehgheg" localSheetId="1">#REF!</definedName>
    <definedName name="ehgheg" localSheetId="14">#REF!</definedName>
    <definedName name="ehgheg" localSheetId="15">#REF!</definedName>
    <definedName name="ehgheg" localSheetId="16">#REF!</definedName>
    <definedName name="ehgheg" localSheetId="17">#REF!</definedName>
    <definedName name="ehgheg" localSheetId="18">#REF!</definedName>
    <definedName name="ehgheg" localSheetId="19">#REF!</definedName>
    <definedName name="ehgheg" localSheetId="2">#REF!</definedName>
    <definedName name="ehgheg" localSheetId="20">#REF!</definedName>
    <definedName name="ehgheg" localSheetId="21">#REF!</definedName>
    <definedName name="ehgheg" localSheetId="23">#REF!</definedName>
    <definedName name="ehgheg" localSheetId="3">#REF!</definedName>
    <definedName name="ehgheg" localSheetId="5">#REF!</definedName>
    <definedName name="ehgheg" localSheetId="6">#REF!</definedName>
    <definedName name="ehgheg" localSheetId="8">#REF!</definedName>
    <definedName name="ehgheg" localSheetId="0">#REF!</definedName>
    <definedName name="ehgheg">#REF!</definedName>
    <definedName name="_xlnm.Extract" localSheetId="4">#REF!</definedName>
    <definedName name="_xlnm.Extract" localSheetId="9">#REF!</definedName>
    <definedName name="_xlnm.Extract" localSheetId="1">#REF!</definedName>
    <definedName name="_xlnm.Extract" localSheetId="14">#REF!</definedName>
    <definedName name="_xlnm.Extract" localSheetId="15">#REF!</definedName>
    <definedName name="_xlnm.Extract" localSheetId="16">#REF!</definedName>
    <definedName name="_xlnm.Extract" localSheetId="17">#REF!</definedName>
    <definedName name="_xlnm.Extract" localSheetId="18">#REF!</definedName>
    <definedName name="_xlnm.Extract" localSheetId="19">#REF!</definedName>
    <definedName name="_xlnm.Extract" localSheetId="2">#REF!</definedName>
    <definedName name="_xlnm.Extract" localSheetId="20">#REF!</definedName>
    <definedName name="_xlnm.Extract" localSheetId="21">#REF!</definedName>
    <definedName name="_xlnm.Extract" localSheetId="23">#REF!</definedName>
    <definedName name="_xlnm.Extract" localSheetId="3">#REF!</definedName>
    <definedName name="_xlnm.Extract" localSheetId="5">#REF!</definedName>
    <definedName name="_xlnm.Extract" localSheetId="6">#REF!</definedName>
    <definedName name="_xlnm.Extract" localSheetId="8">#REF!</definedName>
    <definedName name="_xlnm.Extract" localSheetId="0">#REF!</definedName>
    <definedName name="_xlnm.Extract">#REF!</definedName>
    <definedName name="etyhehh" localSheetId="4">#REF!</definedName>
    <definedName name="etyhehh" localSheetId="9">#REF!</definedName>
    <definedName name="etyhehh" localSheetId="1">#REF!</definedName>
    <definedName name="etyhehh" localSheetId="14">#REF!</definedName>
    <definedName name="etyhehh" localSheetId="15">#REF!</definedName>
    <definedName name="etyhehh" localSheetId="16">#REF!</definedName>
    <definedName name="etyhehh" localSheetId="17">#REF!</definedName>
    <definedName name="etyhehh" localSheetId="18">#REF!</definedName>
    <definedName name="etyhehh" localSheetId="19">#REF!</definedName>
    <definedName name="etyhehh" localSheetId="2">#REF!</definedName>
    <definedName name="etyhehh" localSheetId="20">#REF!</definedName>
    <definedName name="etyhehh" localSheetId="21">#REF!</definedName>
    <definedName name="etyhehh" localSheetId="23">#REF!</definedName>
    <definedName name="etyhehh" localSheetId="3">#REF!</definedName>
    <definedName name="etyhehh" localSheetId="5">#REF!</definedName>
    <definedName name="etyhehh" localSheetId="6">#REF!</definedName>
    <definedName name="etyhehh" localSheetId="8">#REF!</definedName>
    <definedName name="etyhehh" localSheetId="0">#REF!</definedName>
    <definedName name="etyhehh">#REF!</definedName>
    <definedName name="ff" localSheetId="4">#REF!</definedName>
    <definedName name="ff" localSheetId="9">#REF!</definedName>
    <definedName name="ff" localSheetId="1">#REF!</definedName>
    <definedName name="ff" localSheetId="14">#REF!</definedName>
    <definedName name="ff" localSheetId="15">#REF!</definedName>
    <definedName name="ff" localSheetId="16">#REF!</definedName>
    <definedName name="ff" localSheetId="17">#REF!</definedName>
    <definedName name="ff" localSheetId="18">#REF!</definedName>
    <definedName name="ff" localSheetId="19">#REF!</definedName>
    <definedName name="ff" localSheetId="2">#REF!</definedName>
    <definedName name="ff" localSheetId="20">#REF!</definedName>
    <definedName name="ff" localSheetId="21">#REF!</definedName>
    <definedName name="ff" localSheetId="23">#REF!</definedName>
    <definedName name="ff" localSheetId="3">#REF!</definedName>
    <definedName name="ff" localSheetId="5">#REF!</definedName>
    <definedName name="ff" localSheetId="6">#REF!</definedName>
    <definedName name="ff" localSheetId="8">#REF!</definedName>
    <definedName name="ff" localSheetId="0">#REF!</definedName>
    <definedName name="ff">#REF!</definedName>
    <definedName name="FFFF" localSheetId="4">#REF!</definedName>
    <definedName name="FFFF" localSheetId="9">#REF!</definedName>
    <definedName name="FFFF" localSheetId="1">#REF!</definedName>
    <definedName name="FFFF" localSheetId="14">#REF!</definedName>
    <definedName name="FFFF" localSheetId="15">#REF!</definedName>
    <definedName name="FFFF" localSheetId="16">#REF!</definedName>
    <definedName name="FFFF" localSheetId="17">#REF!</definedName>
    <definedName name="FFFF" localSheetId="18">#REF!</definedName>
    <definedName name="FFFF" localSheetId="19">#REF!</definedName>
    <definedName name="FFFF" localSheetId="2">#REF!</definedName>
    <definedName name="FFFF" localSheetId="20">#REF!</definedName>
    <definedName name="FFFF" localSheetId="21">#REF!</definedName>
    <definedName name="FFFF" localSheetId="23">#REF!</definedName>
    <definedName name="FFFF" localSheetId="3">#REF!</definedName>
    <definedName name="FFFF" localSheetId="5">#REF!</definedName>
    <definedName name="FFFF" localSheetId="6">#REF!</definedName>
    <definedName name="FFFF" localSheetId="8">#REF!</definedName>
    <definedName name="FFFF" localSheetId="0">#REF!</definedName>
    <definedName name="FFFF">#REF!</definedName>
    <definedName name="fggg" localSheetId="4">#REF!</definedName>
    <definedName name="fggg" localSheetId="9">#REF!</definedName>
    <definedName name="fggg" localSheetId="1">#REF!</definedName>
    <definedName name="fggg" localSheetId="14">#REF!</definedName>
    <definedName name="fggg" localSheetId="15">#REF!</definedName>
    <definedName name="fggg" localSheetId="16">#REF!</definedName>
    <definedName name="fggg" localSheetId="17">#REF!</definedName>
    <definedName name="fggg" localSheetId="18">#REF!</definedName>
    <definedName name="fggg" localSheetId="19">#REF!</definedName>
    <definedName name="fggg" localSheetId="2">#REF!</definedName>
    <definedName name="fggg" localSheetId="20">#REF!</definedName>
    <definedName name="fggg" localSheetId="21">#REF!</definedName>
    <definedName name="fggg" localSheetId="23">#REF!</definedName>
    <definedName name="fggg" localSheetId="3">#REF!</definedName>
    <definedName name="fggg" localSheetId="5">#REF!</definedName>
    <definedName name="fggg" localSheetId="6">#REF!</definedName>
    <definedName name="fggg" localSheetId="8">#REF!</definedName>
    <definedName name="fggg" localSheetId="0">#REF!</definedName>
    <definedName name="fggg">#REF!</definedName>
    <definedName name="gfrt" localSheetId="4">#REF!</definedName>
    <definedName name="gfrt" localSheetId="9">#REF!</definedName>
    <definedName name="gfrt" localSheetId="1">#REF!</definedName>
    <definedName name="gfrt" localSheetId="14">#REF!</definedName>
    <definedName name="gfrt" localSheetId="15">#REF!</definedName>
    <definedName name="gfrt" localSheetId="16">#REF!</definedName>
    <definedName name="gfrt" localSheetId="17">#REF!</definedName>
    <definedName name="gfrt" localSheetId="18">#REF!</definedName>
    <definedName name="gfrt" localSheetId="19">#REF!</definedName>
    <definedName name="gfrt" localSheetId="2">#REF!</definedName>
    <definedName name="gfrt" localSheetId="20">#REF!</definedName>
    <definedName name="gfrt" localSheetId="21">#REF!</definedName>
    <definedName name="gfrt" localSheetId="23">#REF!</definedName>
    <definedName name="gfrt" localSheetId="3">#REF!</definedName>
    <definedName name="gfrt" localSheetId="5">#REF!</definedName>
    <definedName name="gfrt" localSheetId="6">#REF!</definedName>
    <definedName name="gfrt" localSheetId="8">#REF!</definedName>
    <definedName name="gfrt" localSheetId="0">#REF!</definedName>
    <definedName name="gfrt">#REF!</definedName>
    <definedName name="gfsd" localSheetId="4">#REF!</definedName>
    <definedName name="gfsd" localSheetId="9">#REF!</definedName>
    <definedName name="gfsd" localSheetId="1">#REF!</definedName>
    <definedName name="gfsd" localSheetId="14">#REF!</definedName>
    <definedName name="gfsd" localSheetId="15">#REF!</definedName>
    <definedName name="gfsd" localSheetId="16">#REF!</definedName>
    <definedName name="gfsd" localSheetId="17">#REF!</definedName>
    <definedName name="gfsd" localSheetId="18">#REF!</definedName>
    <definedName name="gfsd" localSheetId="19">#REF!</definedName>
    <definedName name="gfsd" localSheetId="2">#REF!</definedName>
    <definedName name="gfsd" localSheetId="20">#REF!</definedName>
    <definedName name="gfsd" localSheetId="21">#REF!</definedName>
    <definedName name="gfsd" localSheetId="23">#REF!</definedName>
    <definedName name="gfsd" localSheetId="3">#REF!</definedName>
    <definedName name="gfsd" localSheetId="5">#REF!</definedName>
    <definedName name="gfsd" localSheetId="6">#REF!</definedName>
    <definedName name="gfsd" localSheetId="8">#REF!</definedName>
    <definedName name="gfsd" localSheetId="0">#REF!</definedName>
    <definedName name="gfsd">#REF!</definedName>
    <definedName name="gg" localSheetId="4">#REF!</definedName>
    <definedName name="gg" localSheetId="9">#REF!</definedName>
    <definedName name="gg" localSheetId="1">#REF!</definedName>
    <definedName name="gg" localSheetId="14">#REF!</definedName>
    <definedName name="gg" localSheetId="15">#REF!</definedName>
    <definedName name="gg" localSheetId="16">#REF!</definedName>
    <definedName name="gg" localSheetId="17">#REF!</definedName>
    <definedName name="gg" localSheetId="18">#REF!</definedName>
    <definedName name="gg" localSheetId="19">#REF!</definedName>
    <definedName name="gg" localSheetId="2">#REF!</definedName>
    <definedName name="gg" localSheetId="20">#REF!</definedName>
    <definedName name="gg" localSheetId="21">#REF!</definedName>
    <definedName name="gg" localSheetId="23">#REF!</definedName>
    <definedName name="gg" localSheetId="3">#REF!</definedName>
    <definedName name="gg" localSheetId="5">#REF!</definedName>
    <definedName name="gg" localSheetId="6">#REF!</definedName>
    <definedName name="gg" localSheetId="8">#REF!</definedName>
    <definedName name="gg" localSheetId="0">#REF!</definedName>
    <definedName name="gg">#REF!</definedName>
    <definedName name="GGGG" localSheetId="4">#REF!</definedName>
    <definedName name="GGGG" localSheetId="9">#REF!</definedName>
    <definedName name="GGGG" localSheetId="1">#REF!</definedName>
    <definedName name="GGGG" localSheetId="14">#REF!</definedName>
    <definedName name="GGGG" localSheetId="15">#REF!</definedName>
    <definedName name="GGGG" localSheetId="16">#REF!</definedName>
    <definedName name="GGGG" localSheetId="17">#REF!</definedName>
    <definedName name="GGGG" localSheetId="18">#REF!</definedName>
    <definedName name="GGGG" localSheetId="19">#REF!</definedName>
    <definedName name="GGGG" localSheetId="2">#REF!</definedName>
    <definedName name="GGGG" localSheetId="20">#REF!</definedName>
    <definedName name="GGGG" localSheetId="21">#REF!</definedName>
    <definedName name="GGGG" localSheetId="23">#REF!</definedName>
    <definedName name="GGGG" localSheetId="3">#REF!</definedName>
    <definedName name="GGGG" localSheetId="5">#REF!</definedName>
    <definedName name="GGGG" localSheetId="6">#REF!</definedName>
    <definedName name="GGGG" localSheetId="8">#REF!</definedName>
    <definedName name="GGGG" localSheetId="0">#REF!</definedName>
    <definedName name="GGGG">#REF!</definedName>
    <definedName name="ghegeeg" localSheetId="4">#REF!</definedName>
    <definedName name="ghegeeg" localSheetId="9">#REF!</definedName>
    <definedName name="ghegeeg" localSheetId="1">#REF!</definedName>
    <definedName name="ghegeeg" localSheetId="14">#REF!</definedName>
    <definedName name="ghegeeg" localSheetId="15">#REF!</definedName>
    <definedName name="ghegeeg" localSheetId="16">#REF!</definedName>
    <definedName name="ghegeeg" localSheetId="17">#REF!</definedName>
    <definedName name="ghegeeg" localSheetId="18">#REF!</definedName>
    <definedName name="ghegeeg" localSheetId="19">#REF!</definedName>
    <definedName name="ghegeeg" localSheetId="2">#REF!</definedName>
    <definedName name="ghegeeg" localSheetId="20">#REF!</definedName>
    <definedName name="ghegeeg" localSheetId="21">#REF!</definedName>
    <definedName name="ghegeeg" localSheetId="23">#REF!</definedName>
    <definedName name="ghegeeg" localSheetId="3">#REF!</definedName>
    <definedName name="ghegeeg" localSheetId="5">#REF!</definedName>
    <definedName name="ghegeeg" localSheetId="6">#REF!</definedName>
    <definedName name="ghegeeg" localSheetId="8">#REF!</definedName>
    <definedName name="ghegeeg" localSheetId="0">#REF!</definedName>
    <definedName name="ghegeeg">#REF!</definedName>
    <definedName name="grafico" localSheetId="4" hidden="1">'[1]Tabella 4'!$N$14:$N$26</definedName>
    <definedName name="grafico" localSheetId="9" hidden="1">'[2]Tabella 4'!$N$14:$N$26</definedName>
    <definedName name="grafico" localSheetId="1" hidden="1">'[1]Tabella 4'!$N$14:$N$26</definedName>
    <definedName name="grafico" localSheetId="10" hidden="1">'[2]Tabella 4'!$N$14:$N$26</definedName>
    <definedName name="grafico" localSheetId="11" hidden="1">'[2]Tabella 4'!$N$14:$N$26</definedName>
    <definedName name="grafico" localSheetId="12" hidden="1">'[2]Tabella 4'!$N$14:$N$26</definedName>
    <definedName name="grafico" localSheetId="2" hidden="1">'[1]Tabella 4'!$N$14:$N$26</definedName>
    <definedName name="grafico" localSheetId="23" hidden="1">'[3]Tabella 4'!$N$14:$N$26</definedName>
    <definedName name="grafico" localSheetId="3" hidden="1">'[1]Tabella 4'!$N$14:$N$26</definedName>
    <definedName name="grafico" localSheetId="5" hidden="1">'[1]Tabella 4'!$N$14:$N$26</definedName>
    <definedName name="grafico" localSheetId="6" hidden="1">'[2]Tabella 4'!$N$14:$N$26</definedName>
    <definedName name="grafico" localSheetId="7" hidden="1">'[2]Tabella 4'!$N$14:$N$26</definedName>
    <definedName name="grafico" localSheetId="8" hidden="1">'[2]Tabella 4'!$N$14:$N$26</definedName>
    <definedName name="grafico" localSheetId="0" hidden="1">'[2]Tabella 4'!$N$14:$N$26</definedName>
    <definedName name="grafico" hidden="1">'[2]Tabella 4'!$N$14:$N$26</definedName>
    <definedName name="grafico_reati" localSheetId="4" hidden="1">'[1]Tabella 4'!$F$10:$F$26</definedName>
    <definedName name="grafico_reati" localSheetId="9" hidden="1">'[2]Tabella 4'!$F$10:$F$26</definedName>
    <definedName name="grafico_reati" localSheetId="1" hidden="1">'[1]Tabella 4'!$F$10:$F$26</definedName>
    <definedName name="grafico_reati" localSheetId="10" hidden="1">'[2]Tabella 4'!$F$10:$F$26</definedName>
    <definedName name="grafico_reati" localSheetId="11" hidden="1">'[2]Tabella 4'!$F$10:$F$26</definedName>
    <definedName name="grafico_reati" localSheetId="12" hidden="1">'[2]Tabella 4'!$F$10:$F$26</definedName>
    <definedName name="grafico_reati" localSheetId="2" hidden="1">'[1]Tabella 4'!$F$10:$F$26</definedName>
    <definedName name="grafico_reati" localSheetId="23" hidden="1">'[3]Tabella 4'!$F$10:$F$26</definedName>
    <definedName name="grafico_reati" localSheetId="3" hidden="1">'[1]Tabella 4'!$F$10:$F$26</definedName>
    <definedName name="grafico_reati" localSheetId="5" hidden="1">'[1]Tabella 4'!$F$10:$F$26</definedName>
    <definedName name="grafico_reati" localSheetId="6" hidden="1">'[2]Tabella 4'!$F$10:$F$26</definedName>
    <definedName name="grafico_reati" localSheetId="7" hidden="1">'[2]Tabella 4'!$F$10:$F$26</definedName>
    <definedName name="grafico_reati" localSheetId="8" hidden="1">'[2]Tabella 4'!$F$10:$F$26</definedName>
    <definedName name="grafico_reati" localSheetId="0" hidden="1">'[2]Tabella 4'!$F$10:$F$26</definedName>
    <definedName name="grafico_reati" hidden="1">'[2]Tabella 4'!$F$10:$F$26</definedName>
    <definedName name="grareati" localSheetId="4" hidden="1">'[1]Tabella 4'!$A$10:$A$26</definedName>
    <definedName name="grareati" localSheetId="9" hidden="1">'[2]Tabella 4'!$A$10:$A$26</definedName>
    <definedName name="grareati" localSheetId="1" hidden="1">'[1]Tabella 4'!$A$10:$A$26</definedName>
    <definedName name="grareati" localSheetId="10" hidden="1">'[2]Tabella 4'!$A$10:$A$26</definedName>
    <definedName name="grareati" localSheetId="11" hidden="1">'[2]Tabella 4'!$A$10:$A$26</definedName>
    <definedName name="grareati" localSheetId="12" hidden="1">'[2]Tabella 4'!$A$10:$A$26</definedName>
    <definedName name="grareati" localSheetId="2" hidden="1">'[1]Tabella 4'!$A$10:$A$26</definedName>
    <definedName name="grareati" localSheetId="23" hidden="1">'[3]Tabella 4'!$A$10:$A$26</definedName>
    <definedName name="grareati" localSheetId="3" hidden="1">'[1]Tabella 4'!$A$10:$A$26</definedName>
    <definedName name="grareati" localSheetId="5" hidden="1">'[1]Tabella 4'!$A$10:$A$26</definedName>
    <definedName name="grareati" localSheetId="6" hidden="1">'[2]Tabella 4'!$A$10:$A$26</definedName>
    <definedName name="grareati" localSheetId="7" hidden="1">'[2]Tabella 4'!$A$10:$A$26</definedName>
    <definedName name="grareati" localSheetId="8" hidden="1">'[2]Tabella 4'!$A$10:$A$26</definedName>
    <definedName name="grareati" localSheetId="0" hidden="1">'[2]Tabella 4'!$A$10:$A$26</definedName>
    <definedName name="grareati" hidden="1">'[2]Tabella 4'!$A$10:$A$26</definedName>
    <definedName name="grdgd" localSheetId="4">#REF!</definedName>
    <definedName name="grdgd" localSheetId="9">#REF!</definedName>
    <definedName name="grdgd" localSheetId="1">#REF!</definedName>
    <definedName name="grdgd" localSheetId="11">#REF!</definedName>
    <definedName name="grdgd" localSheetId="14">#REF!</definedName>
    <definedName name="grdgd" localSheetId="15">#REF!</definedName>
    <definedName name="grdgd" localSheetId="16">#REF!</definedName>
    <definedName name="grdgd" localSheetId="17">#REF!</definedName>
    <definedName name="grdgd" localSheetId="18">#REF!</definedName>
    <definedName name="grdgd" localSheetId="19">#REF!</definedName>
    <definedName name="grdgd" localSheetId="2">#REF!</definedName>
    <definedName name="grdgd" localSheetId="20">#REF!</definedName>
    <definedName name="grdgd" localSheetId="21">#REF!</definedName>
    <definedName name="grdgd" localSheetId="23">#REF!</definedName>
    <definedName name="grdgd" localSheetId="3">#REF!</definedName>
    <definedName name="grdgd" localSheetId="5">#REF!</definedName>
    <definedName name="grdgd" localSheetId="6">#REF!</definedName>
    <definedName name="grdgd" localSheetId="8">#REF!</definedName>
    <definedName name="grdgd" localSheetId="0">#REF!</definedName>
    <definedName name="grdgd">#REF!</definedName>
    <definedName name="gtbgdj" localSheetId="4">#REF!</definedName>
    <definedName name="gtbgdj" localSheetId="9">#REF!</definedName>
    <definedName name="gtbgdj" localSheetId="1">#REF!</definedName>
    <definedName name="gtbgdj" localSheetId="11">#REF!</definedName>
    <definedName name="gtbgdj" localSheetId="14">#REF!</definedName>
    <definedName name="gtbgdj" localSheetId="15">#REF!</definedName>
    <definedName name="gtbgdj" localSheetId="16">#REF!</definedName>
    <definedName name="gtbgdj" localSheetId="17">#REF!</definedName>
    <definedName name="gtbgdj" localSheetId="18">#REF!</definedName>
    <definedName name="gtbgdj" localSheetId="19">#REF!</definedName>
    <definedName name="gtbgdj" localSheetId="2">#REF!</definedName>
    <definedName name="gtbgdj" localSheetId="20">#REF!</definedName>
    <definedName name="gtbgdj" localSheetId="21">#REF!</definedName>
    <definedName name="gtbgdj" localSheetId="23">#REF!</definedName>
    <definedName name="gtbgdj" localSheetId="3">#REF!</definedName>
    <definedName name="gtbgdj" localSheetId="5">#REF!</definedName>
    <definedName name="gtbgdj" localSheetId="6">#REF!</definedName>
    <definedName name="gtbgdj" localSheetId="8">#REF!</definedName>
    <definedName name="gtbgdj" localSheetId="0">#REF!</definedName>
    <definedName name="gtbgdj">#REF!</definedName>
    <definedName name="hgfd" localSheetId="4">#REF!</definedName>
    <definedName name="hgfd" localSheetId="9">#REF!</definedName>
    <definedName name="hgfd" localSheetId="1">#REF!</definedName>
    <definedName name="hgfd" localSheetId="11">#REF!</definedName>
    <definedName name="hgfd" localSheetId="14">#REF!</definedName>
    <definedName name="hgfd" localSheetId="15">#REF!</definedName>
    <definedName name="hgfd" localSheetId="16">#REF!</definedName>
    <definedName name="hgfd" localSheetId="17">#REF!</definedName>
    <definedName name="hgfd" localSheetId="18">#REF!</definedName>
    <definedName name="hgfd" localSheetId="19">#REF!</definedName>
    <definedName name="hgfd" localSheetId="2">#REF!</definedName>
    <definedName name="hgfd" localSheetId="20">#REF!</definedName>
    <definedName name="hgfd" localSheetId="21">#REF!</definedName>
    <definedName name="hgfd" localSheetId="23">#REF!</definedName>
    <definedName name="hgfd" localSheetId="3">#REF!</definedName>
    <definedName name="hgfd" localSheetId="5">#REF!</definedName>
    <definedName name="hgfd" localSheetId="6">#REF!</definedName>
    <definedName name="hgfd" localSheetId="8">#REF!</definedName>
    <definedName name="hgfd" localSheetId="0">#REF!</definedName>
    <definedName name="hgfd">#REF!</definedName>
    <definedName name="hh" localSheetId="4">#REF!</definedName>
    <definedName name="hh" localSheetId="9">#REF!</definedName>
    <definedName name="hh" localSheetId="1">#REF!</definedName>
    <definedName name="hh" localSheetId="14">#REF!</definedName>
    <definedName name="hh" localSheetId="15">#REF!</definedName>
    <definedName name="hh" localSheetId="16">#REF!</definedName>
    <definedName name="hh" localSheetId="17">#REF!</definedName>
    <definedName name="hh" localSheetId="18">#REF!</definedName>
    <definedName name="hh" localSheetId="19">#REF!</definedName>
    <definedName name="hh" localSheetId="2">#REF!</definedName>
    <definedName name="hh" localSheetId="20">#REF!</definedName>
    <definedName name="hh" localSheetId="21">#REF!</definedName>
    <definedName name="hh" localSheetId="23">#REF!</definedName>
    <definedName name="hh" localSheetId="3">#REF!</definedName>
    <definedName name="hh" localSheetId="5">#REF!</definedName>
    <definedName name="hh" localSheetId="6">#REF!</definedName>
    <definedName name="hh" localSheetId="8">#REF!</definedName>
    <definedName name="hh" localSheetId="0">#REF!</definedName>
    <definedName name="hh">#REF!</definedName>
    <definedName name="HHHH" localSheetId="4">#REF!</definedName>
    <definedName name="HHHH" localSheetId="9">#REF!</definedName>
    <definedName name="HHHH" localSheetId="1">#REF!</definedName>
    <definedName name="HHHH" localSheetId="14">#REF!</definedName>
    <definedName name="HHHH" localSheetId="15">#REF!</definedName>
    <definedName name="HHHH" localSheetId="16">#REF!</definedName>
    <definedName name="HHHH" localSheetId="17">#REF!</definedName>
    <definedName name="HHHH" localSheetId="18">#REF!</definedName>
    <definedName name="HHHH" localSheetId="19">#REF!</definedName>
    <definedName name="HHHH" localSheetId="2">#REF!</definedName>
    <definedName name="HHHH" localSheetId="20">#REF!</definedName>
    <definedName name="HHHH" localSheetId="21">#REF!</definedName>
    <definedName name="HHHH" localSheetId="23">#REF!</definedName>
    <definedName name="HHHH" localSheetId="3">#REF!</definedName>
    <definedName name="HHHH" localSheetId="5">#REF!</definedName>
    <definedName name="HHHH" localSheetId="6">#REF!</definedName>
    <definedName name="HHHH" localSheetId="8">#REF!</definedName>
    <definedName name="HHHH" localSheetId="0">#REF!</definedName>
    <definedName name="HHHH">#REF!</definedName>
    <definedName name="hkg" localSheetId="4">#REF!</definedName>
    <definedName name="hkg" localSheetId="9">#REF!</definedName>
    <definedName name="hkg" localSheetId="1">#REF!</definedName>
    <definedName name="hkg" localSheetId="14">#REF!</definedName>
    <definedName name="hkg" localSheetId="15">#REF!</definedName>
    <definedName name="hkg" localSheetId="16">#REF!</definedName>
    <definedName name="hkg" localSheetId="17">#REF!</definedName>
    <definedName name="hkg" localSheetId="18">#REF!</definedName>
    <definedName name="hkg" localSheetId="19">#REF!</definedName>
    <definedName name="hkg" localSheetId="2">#REF!</definedName>
    <definedName name="hkg" localSheetId="20">#REF!</definedName>
    <definedName name="hkg" localSheetId="21">#REF!</definedName>
    <definedName name="hkg" localSheetId="23">#REF!</definedName>
    <definedName name="hkg" localSheetId="3">#REF!</definedName>
    <definedName name="hkg" localSheetId="5">#REF!</definedName>
    <definedName name="hkg" localSheetId="6">#REF!</definedName>
    <definedName name="hkg" localSheetId="8">#REF!</definedName>
    <definedName name="hkg" localSheetId="0">#REF!</definedName>
    <definedName name="hkg">#REF!</definedName>
    <definedName name="II" localSheetId="4">#REF!</definedName>
    <definedName name="II" localSheetId="9">#REF!</definedName>
    <definedName name="II" localSheetId="1">#REF!</definedName>
    <definedName name="II" localSheetId="14">#REF!</definedName>
    <definedName name="II" localSheetId="15">#REF!</definedName>
    <definedName name="II" localSheetId="16">#REF!</definedName>
    <definedName name="II" localSheetId="17">#REF!</definedName>
    <definedName name="II" localSheetId="18">#REF!</definedName>
    <definedName name="II" localSheetId="19">#REF!</definedName>
    <definedName name="II" localSheetId="2">#REF!</definedName>
    <definedName name="II" localSheetId="20">#REF!</definedName>
    <definedName name="II" localSheetId="21">#REF!</definedName>
    <definedName name="II" localSheetId="23">#REF!</definedName>
    <definedName name="II" localSheetId="3">#REF!</definedName>
    <definedName name="II" localSheetId="5">#REF!</definedName>
    <definedName name="II" localSheetId="6">#REF!</definedName>
    <definedName name="II" localSheetId="8">#REF!</definedName>
    <definedName name="II" localSheetId="0">#REF!</definedName>
    <definedName name="II">#REF!</definedName>
    <definedName name="iyulf" localSheetId="4">#REF!</definedName>
    <definedName name="iyulf" localSheetId="9">#REF!</definedName>
    <definedName name="iyulf" localSheetId="1">#REF!</definedName>
    <definedName name="iyulf" localSheetId="14">#REF!</definedName>
    <definedName name="iyulf" localSheetId="15">#REF!</definedName>
    <definedName name="iyulf" localSheetId="16">#REF!</definedName>
    <definedName name="iyulf" localSheetId="17">#REF!</definedName>
    <definedName name="iyulf" localSheetId="18">#REF!</definedName>
    <definedName name="iyulf" localSheetId="19">#REF!</definedName>
    <definedName name="iyulf" localSheetId="2">#REF!</definedName>
    <definedName name="iyulf" localSheetId="20">#REF!</definedName>
    <definedName name="iyulf" localSheetId="21">#REF!</definedName>
    <definedName name="iyulf" localSheetId="23">#REF!</definedName>
    <definedName name="iyulf" localSheetId="3">#REF!</definedName>
    <definedName name="iyulf" localSheetId="5">#REF!</definedName>
    <definedName name="iyulf" localSheetId="6">#REF!</definedName>
    <definedName name="iyulf" localSheetId="8">#REF!</definedName>
    <definedName name="iyulf" localSheetId="0">#REF!</definedName>
    <definedName name="iyulf">#REF!</definedName>
    <definedName name="iyyk" localSheetId="4">#REF!</definedName>
    <definedName name="iyyk" localSheetId="9">#REF!</definedName>
    <definedName name="iyyk" localSheetId="1">#REF!</definedName>
    <definedName name="iyyk" localSheetId="14">#REF!</definedName>
    <definedName name="iyyk" localSheetId="15">#REF!</definedName>
    <definedName name="iyyk" localSheetId="16">#REF!</definedName>
    <definedName name="iyyk" localSheetId="17">#REF!</definedName>
    <definedName name="iyyk" localSheetId="18">#REF!</definedName>
    <definedName name="iyyk" localSheetId="19">#REF!</definedName>
    <definedName name="iyyk" localSheetId="2">#REF!</definedName>
    <definedName name="iyyk" localSheetId="20">#REF!</definedName>
    <definedName name="iyyk" localSheetId="21">#REF!</definedName>
    <definedName name="iyyk" localSheetId="23">#REF!</definedName>
    <definedName name="iyyk" localSheetId="3">#REF!</definedName>
    <definedName name="iyyk" localSheetId="5">#REF!</definedName>
    <definedName name="iyyk" localSheetId="6">#REF!</definedName>
    <definedName name="iyyk" localSheetId="8">#REF!</definedName>
    <definedName name="iyyk" localSheetId="0">#REF!</definedName>
    <definedName name="iyyk">#REF!</definedName>
    <definedName name="jj" localSheetId="4">#REF!</definedName>
    <definedName name="jj" localSheetId="9">#REF!</definedName>
    <definedName name="jj" localSheetId="1">#REF!</definedName>
    <definedName name="jj" localSheetId="14">#REF!</definedName>
    <definedName name="jj" localSheetId="15">#REF!</definedName>
    <definedName name="jj" localSheetId="16">#REF!</definedName>
    <definedName name="jj" localSheetId="17">#REF!</definedName>
    <definedName name="jj" localSheetId="18">#REF!</definedName>
    <definedName name="jj" localSheetId="19">#REF!</definedName>
    <definedName name="jj" localSheetId="2">#REF!</definedName>
    <definedName name="jj" localSheetId="20">#REF!</definedName>
    <definedName name="jj" localSheetId="21">#REF!</definedName>
    <definedName name="jj" localSheetId="23">#REF!</definedName>
    <definedName name="jj" localSheetId="3">#REF!</definedName>
    <definedName name="jj" localSheetId="5">#REF!</definedName>
    <definedName name="jj" localSheetId="6">#REF!</definedName>
    <definedName name="jj" localSheetId="8">#REF!</definedName>
    <definedName name="jj" localSheetId="0">#REF!</definedName>
    <definedName name="jj">#REF!</definedName>
    <definedName name="JJJJ" localSheetId="4">#REF!</definedName>
    <definedName name="JJJJ" localSheetId="9">#REF!</definedName>
    <definedName name="JJJJ" localSheetId="1">#REF!</definedName>
    <definedName name="JJJJ" localSheetId="14">#REF!</definedName>
    <definedName name="JJJJ" localSheetId="15">#REF!</definedName>
    <definedName name="JJJJ" localSheetId="16">#REF!</definedName>
    <definedName name="JJJJ" localSheetId="17">#REF!</definedName>
    <definedName name="JJJJ" localSheetId="18">#REF!</definedName>
    <definedName name="JJJJ" localSheetId="19">#REF!</definedName>
    <definedName name="JJJJ" localSheetId="2">#REF!</definedName>
    <definedName name="JJJJ" localSheetId="20">#REF!</definedName>
    <definedName name="JJJJ" localSheetId="21">#REF!</definedName>
    <definedName name="JJJJ" localSheetId="23">#REF!</definedName>
    <definedName name="JJJJ" localSheetId="3">#REF!</definedName>
    <definedName name="JJJJ" localSheetId="5">#REF!</definedName>
    <definedName name="JJJJ" localSheetId="6">#REF!</definedName>
    <definedName name="JJJJ" localSheetId="8">#REF!</definedName>
    <definedName name="JJJJ" localSheetId="0">#REF!</definedName>
    <definedName name="JJJJ">#REF!</definedName>
    <definedName name="kk" localSheetId="4">#REF!</definedName>
    <definedName name="kk" localSheetId="9">#REF!</definedName>
    <definedName name="kk" localSheetId="1">#REF!</definedName>
    <definedName name="kk" localSheetId="14">#REF!</definedName>
    <definedName name="kk" localSheetId="15">#REF!</definedName>
    <definedName name="kk" localSheetId="16">#REF!</definedName>
    <definedName name="kk" localSheetId="17">#REF!</definedName>
    <definedName name="kk" localSheetId="18">#REF!</definedName>
    <definedName name="kk" localSheetId="19">#REF!</definedName>
    <definedName name="kk" localSheetId="2">#REF!</definedName>
    <definedName name="kk" localSheetId="20">#REF!</definedName>
    <definedName name="kk" localSheetId="21">#REF!</definedName>
    <definedName name="kk" localSheetId="23">#REF!</definedName>
    <definedName name="kk" localSheetId="3">#REF!</definedName>
    <definedName name="kk" localSheetId="5">#REF!</definedName>
    <definedName name="kk" localSheetId="6">#REF!</definedName>
    <definedName name="kk" localSheetId="8">#REF!</definedName>
    <definedName name="kk" localSheetId="0">#REF!</definedName>
    <definedName name="kk">#REF!</definedName>
    <definedName name="KKKK" localSheetId="4">#REF!</definedName>
    <definedName name="KKKK" localSheetId="9">#REF!</definedName>
    <definedName name="KKKK" localSheetId="1">#REF!</definedName>
    <definedName name="KKKK" localSheetId="14">#REF!</definedName>
    <definedName name="KKKK" localSheetId="15">#REF!</definedName>
    <definedName name="KKKK" localSheetId="16">#REF!</definedName>
    <definedName name="KKKK" localSheetId="17">#REF!</definedName>
    <definedName name="KKKK" localSheetId="18">#REF!</definedName>
    <definedName name="KKKK" localSheetId="19">#REF!</definedName>
    <definedName name="KKKK" localSheetId="2">#REF!</definedName>
    <definedName name="KKKK" localSheetId="20">#REF!</definedName>
    <definedName name="KKKK" localSheetId="21">#REF!</definedName>
    <definedName name="KKKK" localSheetId="23">#REF!</definedName>
    <definedName name="KKKK" localSheetId="3">#REF!</definedName>
    <definedName name="KKKK" localSheetId="5">#REF!</definedName>
    <definedName name="KKKK" localSheetId="6">#REF!</definedName>
    <definedName name="KKKK" localSheetId="8">#REF!</definedName>
    <definedName name="KKKK" localSheetId="0">#REF!</definedName>
    <definedName name="KKKK">#REF!</definedName>
    <definedName name="laura" localSheetId="4">#REF!</definedName>
    <definedName name="laura" localSheetId="9">#REF!</definedName>
    <definedName name="laura" localSheetId="1">#REF!</definedName>
    <definedName name="laura" localSheetId="14">#REF!</definedName>
    <definedName name="laura" localSheetId="15">#REF!</definedName>
    <definedName name="laura" localSheetId="16">#REF!</definedName>
    <definedName name="laura" localSheetId="17">#REF!</definedName>
    <definedName name="laura" localSheetId="18">#REF!</definedName>
    <definedName name="laura" localSheetId="19">#REF!</definedName>
    <definedName name="laura" localSheetId="2">#REF!</definedName>
    <definedName name="laura" localSheetId="20">#REF!</definedName>
    <definedName name="laura" localSheetId="21">#REF!</definedName>
    <definedName name="laura" localSheetId="23">#REF!</definedName>
    <definedName name="laura" localSheetId="3">#REF!</definedName>
    <definedName name="laura" localSheetId="5">#REF!</definedName>
    <definedName name="laura" localSheetId="6">#REF!</definedName>
    <definedName name="laura" localSheetId="8">#REF!</definedName>
    <definedName name="laura" localSheetId="0">#REF!</definedName>
    <definedName name="laura">#REF!</definedName>
    <definedName name="ll" localSheetId="4">#REF!</definedName>
    <definedName name="ll" localSheetId="9">#REF!</definedName>
    <definedName name="ll" localSheetId="1">#REF!</definedName>
    <definedName name="ll" localSheetId="14">#REF!</definedName>
    <definedName name="ll" localSheetId="15">#REF!</definedName>
    <definedName name="ll" localSheetId="16">#REF!</definedName>
    <definedName name="ll" localSheetId="17">#REF!</definedName>
    <definedName name="ll" localSheetId="18">#REF!</definedName>
    <definedName name="ll" localSheetId="19">#REF!</definedName>
    <definedName name="ll" localSheetId="2">#REF!</definedName>
    <definedName name="ll" localSheetId="20">#REF!</definedName>
    <definedName name="ll" localSheetId="21">#REF!</definedName>
    <definedName name="ll" localSheetId="23">#REF!</definedName>
    <definedName name="ll" localSheetId="3">#REF!</definedName>
    <definedName name="ll" localSheetId="5">#REF!</definedName>
    <definedName name="ll" localSheetId="6">#REF!</definedName>
    <definedName name="ll" localSheetId="8">#REF!</definedName>
    <definedName name="ll" localSheetId="0">#REF!</definedName>
    <definedName name="ll">#REF!</definedName>
    <definedName name="LLLL" localSheetId="4">#REF!</definedName>
    <definedName name="LLLL" localSheetId="9">#REF!</definedName>
    <definedName name="LLLL" localSheetId="1">#REF!</definedName>
    <definedName name="LLLL" localSheetId="14">#REF!</definedName>
    <definedName name="LLLL" localSheetId="15">#REF!</definedName>
    <definedName name="LLLL" localSheetId="16">#REF!</definedName>
    <definedName name="LLLL" localSheetId="17">#REF!</definedName>
    <definedName name="LLLL" localSheetId="18">#REF!</definedName>
    <definedName name="LLLL" localSheetId="19">#REF!</definedName>
    <definedName name="LLLL" localSheetId="2">#REF!</definedName>
    <definedName name="LLLL" localSheetId="20">#REF!</definedName>
    <definedName name="LLLL" localSheetId="21">#REF!</definedName>
    <definedName name="LLLL" localSheetId="23">#REF!</definedName>
    <definedName name="LLLL" localSheetId="3">#REF!</definedName>
    <definedName name="LLLL" localSheetId="5">#REF!</definedName>
    <definedName name="LLLL" localSheetId="6">#REF!</definedName>
    <definedName name="LLLL" localSheetId="8">#REF!</definedName>
    <definedName name="LLLL" localSheetId="0">#REF!</definedName>
    <definedName name="LLLL">#REF!</definedName>
    <definedName name="marina" localSheetId="4" hidden="1">#REF!</definedName>
    <definedName name="marina" localSheetId="9" hidden="1">#REF!</definedName>
    <definedName name="marina" localSheetId="1" hidden="1">#REF!</definedName>
    <definedName name="marina" localSheetId="14" hidden="1">#REF!</definedName>
    <definedName name="marina" localSheetId="15" hidden="1">#REF!</definedName>
    <definedName name="marina" localSheetId="16" hidden="1">#REF!</definedName>
    <definedName name="marina" localSheetId="17" hidden="1">#REF!</definedName>
    <definedName name="marina" localSheetId="18" hidden="1">#REF!</definedName>
    <definedName name="marina" localSheetId="19" hidden="1">#REF!</definedName>
    <definedName name="marina" localSheetId="2" hidden="1">#REF!</definedName>
    <definedName name="marina" localSheetId="20" hidden="1">#REF!</definedName>
    <definedName name="marina" localSheetId="21" hidden="1">#REF!</definedName>
    <definedName name="marina" localSheetId="23" hidden="1">#REF!</definedName>
    <definedName name="marina" localSheetId="3" hidden="1">#REF!</definedName>
    <definedName name="marina" localSheetId="5" hidden="1">#REF!</definedName>
    <definedName name="marina" localSheetId="6" hidden="1">#REF!</definedName>
    <definedName name="marina" localSheetId="8" hidden="1">#REF!</definedName>
    <definedName name="marina" localSheetId="0" hidden="1">#REF!</definedName>
    <definedName name="marina" hidden="1">#REF!</definedName>
    <definedName name="mm" localSheetId="4">#REF!</definedName>
    <definedName name="mm" localSheetId="9">#REF!</definedName>
    <definedName name="mm" localSheetId="1">#REF!</definedName>
    <definedName name="mm" localSheetId="14">#REF!</definedName>
    <definedName name="mm" localSheetId="15">#REF!</definedName>
    <definedName name="mm" localSheetId="16">#REF!</definedName>
    <definedName name="mm" localSheetId="17">#REF!</definedName>
    <definedName name="mm" localSheetId="18">#REF!</definedName>
    <definedName name="mm" localSheetId="19">#REF!</definedName>
    <definedName name="mm" localSheetId="2">#REF!</definedName>
    <definedName name="mm" localSheetId="20">#REF!</definedName>
    <definedName name="mm" localSheetId="21">#REF!</definedName>
    <definedName name="mm" localSheetId="23">#REF!</definedName>
    <definedName name="mm" localSheetId="3">#REF!</definedName>
    <definedName name="mm" localSheetId="5">#REF!</definedName>
    <definedName name="mm" localSheetId="6">#REF!</definedName>
    <definedName name="mm" localSheetId="8">#REF!</definedName>
    <definedName name="mm" localSheetId="0">#REF!</definedName>
    <definedName name="mm">#REF!</definedName>
    <definedName name="mnnjh" localSheetId="4">#REF!</definedName>
    <definedName name="mnnjh" localSheetId="9">#REF!</definedName>
    <definedName name="mnnjh" localSheetId="1">#REF!</definedName>
    <definedName name="mnnjh" localSheetId="14">#REF!</definedName>
    <definedName name="mnnjh" localSheetId="15">#REF!</definedName>
    <definedName name="mnnjh" localSheetId="16">#REF!</definedName>
    <definedName name="mnnjh" localSheetId="17">#REF!</definedName>
    <definedName name="mnnjh" localSheetId="18">#REF!</definedName>
    <definedName name="mnnjh" localSheetId="19">#REF!</definedName>
    <definedName name="mnnjh" localSheetId="2">#REF!</definedName>
    <definedName name="mnnjh" localSheetId="20">#REF!</definedName>
    <definedName name="mnnjh" localSheetId="21">#REF!</definedName>
    <definedName name="mnnjh" localSheetId="23">#REF!</definedName>
    <definedName name="mnnjh" localSheetId="3">#REF!</definedName>
    <definedName name="mnnjh" localSheetId="5">#REF!</definedName>
    <definedName name="mnnjh" localSheetId="6">#REF!</definedName>
    <definedName name="mnnjh" localSheetId="8">#REF!</definedName>
    <definedName name="mnnjh" localSheetId="0">#REF!</definedName>
    <definedName name="mnnjh">#REF!</definedName>
    <definedName name="n" localSheetId="4">#REF!</definedName>
    <definedName name="n" localSheetId="9">#REF!</definedName>
    <definedName name="n" localSheetId="1">#REF!</definedName>
    <definedName name="n" localSheetId="14">#REF!</definedName>
    <definedName name="n" localSheetId="15">#REF!</definedName>
    <definedName name="n" localSheetId="16">#REF!</definedName>
    <definedName name="n" localSheetId="17">#REF!</definedName>
    <definedName name="n" localSheetId="18">#REF!</definedName>
    <definedName name="n" localSheetId="19">#REF!</definedName>
    <definedName name="n" localSheetId="2">#REF!</definedName>
    <definedName name="n" localSheetId="20">#REF!</definedName>
    <definedName name="n" localSheetId="21">#REF!</definedName>
    <definedName name="n" localSheetId="23">#REF!</definedName>
    <definedName name="n" localSheetId="3">#REF!</definedName>
    <definedName name="n" localSheetId="5">#REF!</definedName>
    <definedName name="n" localSheetId="6">#REF!</definedName>
    <definedName name="n" localSheetId="8">#REF!</definedName>
    <definedName name="n" localSheetId="0">#REF!</definedName>
    <definedName name="n">#REF!</definedName>
    <definedName name="nfttfd" localSheetId="4">#REF!</definedName>
    <definedName name="nfttfd" localSheetId="9">#REF!</definedName>
    <definedName name="nfttfd" localSheetId="1">#REF!</definedName>
    <definedName name="nfttfd" localSheetId="14">#REF!</definedName>
    <definedName name="nfttfd" localSheetId="15">#REF!</definedName>
    <definedName name="nfttfd" localSheetId="16">#REF!</definedName>
    <definedName name="nfttfd" localSheetId="17">#REF!</definedName>
    <definedName name="nfttfd" localSheetId="18">#REF!</definedName>
    <definedName name="nfttfd" localSheetId="19">#REF!</definedName>
    <definedName name="nfttfd" localSheetId="2">#REF!</definedName>
    <definedName name="nfttfd" localSheetId="20">#REF!</definedName>
    <definedName name="nfttfd" localSheetId="21">#REF!</definedName>
    <definedName name="nfttfd" localSheetId="23">#REF!</definedName>
    <definedName name="nfttfd" localSheetId="3">#REF!</definedName>
    <definedName name="nfttfd" localSheetId="5">#REF!</definedName>
    <definedName name="nfttfd" localSheetId="6">#REF!</definedName>
    <definedName name="nfttfd" localSheetId="8">#REF!</definedName>
    <definedName name="nfttfd" localSheetId="0">#REF!</definedName>
    <definedName name="nfttfd">#REF!</definedName>
    <definedName name="nftyt" localSheetId="4">#REF!</definedName>
    <definedName name="nftyt" localSheetId="9">#REF!</definedName>
    <definedName name="nftyt" localSheetId="1">#REF!</definedName>
    <definedName name="nftyt" localSheetId="14">#REF!</definedName>
    <definedName name="nftyt" localSheetId="15">#REF!</definedName>
    <definedName name="nftyt" localSheetId="16">#REF!</definedName>
    <definedName name="nftyt" localSheetId="17">#REF!</definedName>
    <definedName name="nftyt" localSheetId="18">#REF!</definedName>
    <definedName name="nftyt" localSheetId="19">#REF!</definedName>
    <definedName name="nftyt" localSheetId="2">#REF!</definedName>
    <definedName name="nftyt" localSheetId="20">#REF!</definedName>
    <definedName name="nftyt" localSheetId="21">#REF!</definedName>
    <definedName name="nftyt" localSheetId="23">#REF!</definedName>
    <definedName name="nftyt" localSheetId="3">#REF!</definedName>
    <definedName name="nftyt" localSheetId="5">#REF!</definedName>
    <definedName name="nftyt" localSheetId="6">#REF!</definedName>
    <definedName name="nftyt" localSheetId="8">#REF!</definedName>
    <definedName name="nftyt" localSheetId="0">#REF!</definedName>
    <definedName name="nftyt">#REF!</definedName>
    <definedName name="ngyggf" localSheetId="4">#REF!</definedName>
    <definedName name="ngyggf" localSheetId="9">#REF!</definedName>
    <definedName name="ngyggf" localSheetId="1">#REF!</definedName>
    <definedName name="ngyggf" localSheetId="14">#REF!</definedName>
    <definedName name="ngyggf" localSheetId="15">#REF!</definedName>
    <definedName name="ngyggf" localSheetId="16">#REF!</definedName>
    <definedName name="ngyggf" localSheetId="17">#REF!</definedName>
    <definedName name="ngyggf" localSheetId="18">#REF!</definedName>
    <definedName name="ngyggf" localSheetId="19">#REF!</definedName>
    <definedName name="ngyggf" localSheetId="2">#REF!</definedName>
    <definedName name="ngyggf" localSheetId="20">#REF!</definedName>
    <definedName name="ngyggf" localSheetId="21">#REF!</definedName>
    <definedName name="ngyggf" localSheetId="23">#REF!</definedName>
    <definedName name="ngyggf" localSheetId="3">#REF!</definedName>
    <definedName name="ngyggf" localSheetId="5">#REF!</definedName>
    <definedName name="ngyggf" localSheetId="6">#REF!</definedName>
    <definedName name="ngyggf" localSheetId="8">#REF!</definedName>
    <definedName name="ngyggf" localSheetId="0">#REF!</definedName>
    <definedName name="ngyggf">#REF!</definedName>
    <definedName name="nn" localSheetId="4">#REF!</definedName>
    <definedName name="nn" localSheetId="9">#REF!</definedName>
    <definedName name="nn" localSheetId="1">#REF!</definedName>
    <definedName name="nn" localSheetId="14">#REF!</definedName>
    <definedName name="nn" localSheetId="15">#REF!</definedName>
    <definedName name="nn" localSheetId="16">#REF!</definedName>
    <definedName name="nn" localSheetId="17">#REF!</definedName>
    <definedName name="nn" localSheetId="18">#REF!</definedName>
    <definedName name="nn" localSheetId="19">#REF!</definedName>
    <definedName name="nn" localSheetId="2">#REF!</definedName>
    <definedName name="nn" localSheetId="20">#REF!</definedName>
    <definedName name="nn" localSheetId="21">#REF!</definedName>
    <definedName name="nn" localSheetId="23">#REF!</definedName>
    <definedName name="nn" localSheetId="3">#REF!</definedName>
    <definedName name="nn" localSheetId="5">#REF!</definedName>
    <definedName name="nn" localSheetId="6">#REF!</definedName>
    <definedName name="nn" localSheetId="8">#REF!</definedName>
    <definedName name="nn" localSheetId="0">#REF!</definedName>
    <definedName name="nn">#REF!</definedName>
    <definedName name="nuove_province_sardegna" localSheetId="4">#REF!</definedName>
    <definedName name="nuove_province_sardegna" localSheetId="9">#REF!</definedName>
    <definedName name="nuove_province_sardegna" localSheetId="1">#REF!</definedName>
    <definedName name="nuove_province_sardegna" localSheetId="14">#REF!</definedName>
    <definedName name="nuove_province_sardegna" localSheetId="15">#REF!</definedName>
    <definedName name="nuove_province_sardegna" localSheetId="16">#REF!</definedName>
    <definedName name="nuove_province_sardegna" localSheetId="17">#REF!</definedName>
    <definedName name="nuove_province_sardegna" localSheetId="18">#REF!</definedName>
    <definedName name="nuove_province_sardegna" localSheetId="19">#REF!</definedName>
    <definedName name="nuove_province_sardegna" localSheetId="2">#REF!</definedName>
    <definedName name="nuove_province_sardegna" localSheetId="20">#REF!</definedName>
    <definedName name="nuove_province_sardegna" localSheetId="21">#REF!</definedName>
    <definedName name="nuove_province_sardegna" localSheetId="23">#REF!</definedName>
    <definedName name="nuove_province_sardegna" localSheetId="3">#REF!</definedName>
    <definedName name="nuove_province_sardegna" localSheetId="5">#REF!</definedName>
    <definedName name="nuove_province_sardegna" localSheetId="6">#REF!</definedName>
    <definedName name="nuove_province_sardegna" localSheetId="8">#REF!</definedName>
    <definedName name="nuove_province_sardegna" localSheetId="0">#REF!</definedName>
    <definedName name="nuove_province_sardegna">#REF!</definedName>
    <definedName name="nytf" localSheetId="4">#REF!</definedName>
    <definedName name="nytf" localSheetId="9">#REF!</definedName>
    <definedName name="nytf" localSheetId="1">#REF!</definedName>
    <definedName name="nytf" localSheetId="14">#REF!</definedName>
    <definedName name="nytf" localSheetId="15">#REF!</definedName>
    <definedName name="nytf" localSheetId="16">#REF!</definedName>
    <definedName name="nytf" localSheetId="17">#REF!</definedName>
    <definedName name="nytf" localSheetId="18">#REF!</definedName>
    <definedName name="nytf" localSheetId="19">#REF!</definedName>
    <definedName name="nytf" localSheetId="2">#REF!</definedName>
    <definedName name="nytf" localSheetId="20">#REF!</definedName>
    <definedName name="nytf" localSheetId="21">#REF!</definedName>
    <definedName name="nytf" localSheetId="23">#REF!</definedName>
    <definedName name="nytf" localSheetId="3">#REF!</definedName>
    <definedName name="nytf" localSheetId="5">#REF!</definedName>
    <definedName name="nytf" localSheetId="6">#REF!</definedName>
    <definedName name="nytf" localSheetId="8">#REF!</definedName>
    <definedName name="nytf" localSheetId="0">#REF!</definedName>
    <definedName name="nytf">#REF!</definedName>
    <definedName name="OO" localSheetId="4">#REF!</definedName>
    <definedName name="OO" localSheetId="9">#REF!</definedName>
    <definedName name="OO" localSheetId="1">#REF!</definedName>
    <definedName name="OO" localSheetId="14">#REF!</definedName>
    <definedName name="OO" localSheetId="15">#REF!</definedName>
    <definedName name="OO" localSheetId="16">#REF!</definedName>
    <definedName name="OO" localSheetId="17">#REF!</definedName>
    <definedName name="OO" localSheetId="18">#REF!</definedName>
    <definedName name="OO" localSheetId="19">#REF!</definedName>
    <definedName name="OO" localSheetId="2">#REF!</definedName>
    <definedName name="OO" localSheetId="20">#REF!</definedName>
    <definedName name="OO" localSheetId="21">#REF!</definedName>
    <definedName name="OO" localSheetId="23">#REF!</definedName>
    <definedName name="OO" localSheetId="3">#REF!</definedName>
    <definedName name="OO" localSheetId="5">#REF!</definedName>
    <definedName name="OO" localSheetId="6">#REF!</definedName>
    <definedName name="OO" localSheetId="8">#REF!</definedName>
    <definedName name="OO" localSheetId="0">#REF!</definedName>
    <definedName name="OO">#REF!</definedName>
    <definedName name="pippo" localSheetId="4">#REF!</definedName>
    <definedName name="pippo" localSheetId="9">#REF!</definedName>
    <definedName name="pippo" localSheetId="1">#REF!</definedName>
    <definedName name="pippo" localSheetId="14">#REF!</definedName>
    <definedName name="pippo" localSheetId="15">#REF!</definedName>
    <definedName name="pippo" localSheetId="16">#REF!</definedName>
    <definedName name="pippo" localSheetId="17">#REF!</definedName>
    <definedName name="pippo" localSheetId="18">#REF!</definedName>
    <definedName name="pippo" localSheetId="19">#REF!</definedName>
    <definedName name="pippo" localSheetId="2">#REF!</definedName>
    <definedName name="pippo" localSheetId="20">#REF!</definedName>
    <definedName name="pippo" localSheetId="21">#REF!</definedName>
    <definedName name="pippo" localSheetId="23">#REF!</definedName>
    <definedName name="pippo" localSheetId="3">#REF!</definedName>
    <definedName name="pippo" localSheetId="5">#REF!</definedName>
    <definedName name="pippo" localSheetId="6">#REF!</definedName>
    <definedName name="pippo" localSheetId="8">#REF!</definedName>
    <definedName name="pippo" localSheetId="0">#REF!</definedName>
    <definedName name="pippo">#REF!</definedName>
    <definedName name="pippone" localSheetId="4">#REF!</definedName>
    <definedName name="pippone" localSheetId="9">#REF!</definedName>
    <definedName name="pippone" localSheetId="1">#REF!</definedName>
    <definedName name="pippone" localSheetId="14">#REF!</definedName>
    <definedName name="pippone" localSheetId="15">#REF!</definedName>
    <definedName name="pippone" localSheetId="16">#REF!</definedName>
    <definedName name="pippone" localSheetId="17">#REF!</definedName>
    <definedName name="pippone" localSheetId="18">#REF!</definedName>
    <definedName name="pippone" localSheetId="19">#REF!</definedName>
    <definedName name="pippone" localSheetId="2">#REF!</definedName>
    <definedName name="pippone" localSheetId="20">#REF!</definedName>
    <definedName name="pippone" localSheetId="21">#REF!</definedName>
    <definedName name="pippone" localSheetId="23">#REF!</definedName>
    <definedName name="pippone" localSheetId="3">#REF!</definedName>
    <definedName name="pippone" localSheetId="5">#REF!</definedName>
    <definedName name="pippone" localSheetId="6">#REF!</definedName>
    <definedName name="pippone" localSheetId="8">#REF!</definedName>
    <definedName name="pippone" localSheetId="0">#REF!</definedName>
    <definedName name="pippone">#REF!</definedName>
    <definedName name="ploh" localSheetId="4">#REF!</definedName>
    <definedName name="ploh" localSheetId="9">#REF!</definedName>
    <definedName name="ploh" localSheetId="1">#REF!</definedName>
    <definedName name="ploh" localSheetId="14">#REF!</definedName>
    <definedName name="ploh" localSheetId="15">#REF!</definedName>
    <definedName name="ploh" localSheetId="16">#REF!</definedName>
    <definedName name="ploh" localSheetId="17">#REF!</definedName>
    <definedName name="ploh" localSheetId="18">#REF!</definedName>
    <definedName name="ploh" localSheetId="19">#REF!</definedName>
    <definedName name="ploh" localSheetId="2">#REF!</definedName>
    <definedName name="ploh" localSheetId="20">#REF!</definedName>
    <definedName name="ploh" localSheetId="21">#REF!</definedName>
    <definedName name="ploh" localSheetId="23">#REF!</definedName>
    <definedName name="ploh" localSheetId="3">#REF!</definedName>
    <definedName name="ploh" localSheetId="5">#REF!</definedName>
    <definedName name="ploh" localSheetId="6">#REF!</definedName>
    <definedName name="ploh" localSheetId="8">#REF!</definedName>
    <definedName name="ploh" localSheetId="0">#REF!</definedName>
    <definedName name="ploh">#REF!</definedName>
    <definedName name="pluto" localSheetId="4">#REF!</definedName>
    <definedName name="pluto" localSheetId="9">#REF!</definedName>
    <definedName name="pluto" localSheetId="1">#REF!</definedName>
    <definedName name="pluto" localSheetId="14">#REF!</definedName>
    <definedName name="pluto" localSheetId="15">#REF!</definedName>
    <definedName name="pluto" localSheetId="16">#REF!</definedName>
    <definedName name="pluto" localSheetId="17">#REF!</definedName>
    <definedName name="pluto" localSheetId="18">#REF!</definedName>
    <definedName name="pluto" localSheetId="19">#REF!</definedName>
    <definedName name="pluto" localSheetId="2">#REF!</definedName>
    <definedName name="pluto" localSheetId="20">#REF!</definedName>
    <definedName name="pluto" localSheetId="21">#REF!</definedName>
    <definedName name="pluto" localSheetId="23">#REF!</definedName>
    <definedName name="pluto" localSheetId="3">#REF!</definedName>
    <definedName name="pluto" localSheetId="5">#REF!</definedName>
    <definedName name="pluto" localSheetId="6">#REF!</definedName>
    <definedName name="pluto" localSheetId="8">#REF!</definedName>
    <definedName name="pluto" localSheetId="0">#REF!</definedName>
    <definedName name="pluto">#REF!</definedName>
    <definedName name="PP" localSheetId="4">#REF!</definedName>
    <definedName name="PP" localSheetId="9">#REF!</definedName>
    <definedName name="PP" localSheetId="1">#REF!</definedName>
    <definedName name="PP" localSheetId="14">#REF!</definedName>
    <definedName name="PP" localSheetId="15">#REF!</definedName>
    <definedName name="PP" localSheetId="16">#REF!</definedName>
    <definedName name="PP" localSheetId="17">#REF!</definedName>
    <definedName name="PP" localSheetId="18">#REF!</definedName>
    <definedName name="PP" localSheetId="19">#REF!</definedName>
    <definedName name="PP" localSheetId="2">#REF!</definedName>
    <definedName name="PP" localSheetId="20">#REF!</definedName>
    <definedName name="PP" localSheetId="21">#REF!</definedName>
    <definedName name="PP" localSheetId="23">#REF!</definedName>
    <definedName name="PP" localSheetId="3">#REF!</definedName>
    <definedName name="PP" localSheetId="5">#REF!</definedName>
    <definedName name="PP" localSheetId="6">#REF!</definedName>
    <definedName name="PP" localSheetId="8">#REF!</definedName>
    <definedName name="PP" localSheetId="0">#REF!</definedName>
    <definedName name="PP">#REF!</definedName>
    <definedName name="primo" localSheetId="4">#REF!</definedName>
    <definedName name="primo" localSheetId="9">#REF!</definedName>
    <definedName name="primo" localSheetId="1">#REF!</definedName>
    <definedName name="primo" localSheetId="14">#REF!</definedName>
    <definedName name="primo" localSheetId="15">#REF!</definedName>
    <definedName name="primo" localSheetId="16">#REF!</definedName>
    <definedName name="primo" localSheetId="17">#REF!</definedName>
    <definedName name="primo" localSheetId="18">#REF!</definedName>
    <definedName name="primo" localSheetId="19">#REF!</definedName>
    <definedName name="primo" localSheetId="2">#REF!</definedName>
    <definedName name="primo" localSheetId="20">#REF!</definedName>
    <definedName name="primo" localSheetId="21">#REF!</definedName>
    <definedName name="primo" localSheetId="23">#REF!</definedName>
    <definedName name="primo" localSheetId="3">#REF!</definedName>
    <definedName name="primo" localSheetId="5">#REF!</definedName>
    <definedName name="primo" localSheetId="6">#REF!</definedName>
    <definedName name="primo" localSheetId="8">#REF!</definedName>
    <definedName name="primo" localSheetId="0">#REF!</definedName>
    <definedName name="primo">#REF!</definedName>
    <definedName name="prova" localSheetId="4">#REF!</definedName>
    <definedName name="prova" localSheetId="9">#REF!</definedName>
    <definedName name="prova" localSheetId="1">#REF!</definedName>
    <definedName name="prova" localSheetId="14">#REF!</definedName>
    <definedName name="prova" localSheetId="15">#REF!</definedName>
    <definedName name="prova" localSheetId="16">#REF!</definedName>
    <definedName name="prova" localSheetId="17">#REF!</definedName>
    <definedName name="prova" localSheetId="18">#REF!</definedName>
    <definedName name="prova" localSheetId="19">#REF!</definedName>
    <definedName name="prova" localSheetId="2">#REF!</definedName>
    <definedName name="prova" localSheetId="20">#REF!</definedName>
    <definedName name="prova" localSheetId="21">#REF!</definedName>
    <definedName name="prova" localSheetId="23">#REF!</definedName>
    <definedName name="prova" localSheetId="3">#REF!</definedName>
    <definedName name="prova" localSheetId="5">#REF!</definedName>
    <definedName name="prova" localSheetId="6">#REF!</definedName>
    <definedName name="prova" localSheetId="8">#REF!</definedName>
    <definedName name="prova" localSheetId="0">#REF!</definedName>
    <definedName name="prova">#REF!</definedName>
    <definedName name="prova2" localSheetId="4">#REF!</definedName>
    <definedName name="prova2" localSheetId="9">#REF!</definedName>
    <definedName name="prova2" localSheetId="1">#REF!</definedName>
    <definedName name="prova2" localSheetId="14">#REF!</definedName>
    <definedName name="prova2" localSheetId="15">#REF!</definedName>
    <definedName name="prova2" localSheetId="16">#REF!</definedName>
    <definedName name="prova2" localSheetId="17">#REF!</definedName>
    <definedName name="prova2" localSheetId="18">#REF!</definedName>
    <definedName name="prova2" localSheetId="19">#REF!</definedName>
    <definedName name="prova2" localSheetId="2">#REF!</definedName>
    <definedName name="prova2" localSheetId="20">#REF!</definedName>
    <definedName name="prova2" localSheetId="21">#REF!</definedName>
    <definedName name="prova2" localSheetId="23">#REF!</definedName>
    <definedName name="prova2" localSheetId="3">#REF!</definedName>
    <definedName name="prova2" localSheetId="5">#REF!</definedName>
    <definedName name="prova2" localSheetId="6">#REF!</definedName>
    <definedName name="prova2" localSheetId="8">#REF!</definedName>
    <definedName name="prova2" localSheetId="0">#REF!</definedName>
    <definedName name="prova2">#REF!</definedName>
    <definedName name="Q" localSheetId="4">#REF!</definedName>
    <definedName name="Q" localSheetId="9">#REF!</definedName>
    <definedName name="Q" localSheetId="1">#REF!</definedName>
    <definedName name="Q" localSheetId="14">#REF!</definedName>
    <definedName name="Q" localSheetId="15">#REF!</definedName>
    <definedName name="Q" localSheetId="16">#REF!</definedName>
    <definedName name="Q" localSheetId="17">#REF!</definedName>
    <definedName name="Q" localSheetId="18">#REF!</definedName>
    <definedName name="Q" localSheetId="19">#REF!</definedName>
    <definedName name="Q" localSheetId="2">#REF!</definedName>
    <definedName name="Q" localSheetId="20">#REF!</definedName>
    <definedName name="Q" localSheetId="21">#REF!</definedName>
    <definedName name="Q" localSheetId="23">#REF!</definedName>
    <definedName name="Q" localSheetId="3">#REF!</definedName>
    <definedName name="Q" localSheetId="5">#REF!</definedName>
    <definedName name="Q" localSheetId="6">#REF!</definedName>
    <definedName name="Q" localSheetId="8">#REF!</definedName>
    <definedName name="Q" localSheetId="0">#REF!</definedName>
    <definedName name="Q">#REF!</definedName>
    <definedName name="qqq" localSheetId="4">#REF!</definedName>
    <definedName name="qqq" localSheetId="9">#REF!</definedName>
    <definedName name="qqq" localSheetId="1">#REF!</definedName>
    <definedName name="qqq" localSheetId="14">#REF!</definedName>
    <definedName name="qqq" localSheetId="15">#REF!</definedName>
    <definedName name="qqq" localSheetId="16">#REF!</definedName>
    <definedName name="qqq" localSheetId="17">#REF!</definedName>
    <definedName name="qqq" localSheetId="18">#REF!</definedName>
    <definedName name="qqq" localSheetId="19">#REF!</definedName>
    <definedName name="qqq" localSheetId="2">#REF!</definedName>
    <definedName name="qqq" localSheetId="20">#REF!</definedName>
    <definedName name="qqq" localSheetId="21">#REF!</definedName>
    <definedName name="qqq" localSheetId="23">#REF!</definedName>
    <definedName name="qqq" localSheetId="3">#REF!</definedName>
    <definedName name="qqq" localSheetId="5">#REF!</definedName>
    <definedName name="qqq" localSheetId="6">#REF!</definedName>
    <definedName name="qqq" localSheetId="8">#REF!</definedName>
    <definedName name="qqq" localSheetId="0">#REF!</definedName>
    <definedName name="qqq">#REF!</definedName>
    <definedName name="RR" localSheetId="4">#REF!</definedName>
    <definedName name="RR" localSheetId="9">#REF!</definedName>
    <definedName name="RR" localSheetId="1">#REF!</definedName>
    <definedName name="RR" localSheetId="14">#REF!</definedName>
    <definedName name="RR" localSheetId="15">#REF!</definedName>
    <definedName name="RR" localSheetId="16">#REF!</definedName>
    <definedName name="RR" localSheetId="17">#REF!</definedName>
    <definedName name="RR" localSheetId="18">#REF!</definedName>
    <definedName name="RR" localSheetId="19">#REF!</definedName>
    <definedName name="RR" localSheetId="2">#REF!</definedName>
    <definedName name="RR" localSheetId="20">#REF!</definedName>
    <definedName name="RR" localSheetId="21">#REF!</definedName>
    <definedName name="RR" localSheetId="23">#REF!</definedName>
    <definedName name="RR" localSheetId="3">#REF!</definedName>
    <definedName name="RR" localSheetId="5">#REF!</definedName>
    <definedName name="RR" localSheetId="6">#REF!</definedName>
    <definedName name="RR" localSheetId="8">#REF!</definedName>
    <definedName name="RR" localSheetId="0">#REF!</definedName>
    <definedName name="RR">#REF!</definedName>
    <definedName name="rrr" localSheetId="4">#REF!</definedName>
    <definedName name="rrr" localSheetId="9">#REF!</definedName>
    <definedName name="rrr" localSheetId="1">#REF!</definedName>
    <definedName name="rrr" localSheetId="14">#REF!</definedName>
    <definedName name="rrr" localSheetId="15">#REF!</definedName>
    <definedName name="rrr" localSheetId="16">#REF!</definedName>
    <definedName name="rrr" localSheetId="17">#REF!</definedName>
    <definedName name="rrr" localSheetId="18">#REF!</definedName>
    <definedName name="rrr" localSheetId="19">#REF!</definedName>
    <definedName name="rrr" localSheetId="2">#REF!</definedName>
    <definedName name="rrr" localSheetId="20">#REF!</definedName>
    <definedName name="rrr" localSheetId="21">#REF!</definedName>
    <definedName name="rrr" localSheetId="23">#REF!</definedName>
    <definedName name="rrr" localSheetId="3">#REF!</definedName>
    <definedName name="rrr" localSheetId="5">#REF!</definedName>
    <definedName name="rrr" localSheetId="6">#REF!</definedName>
    <definedName name="rrr" localSheetId="8">#REF!</definedName>
    <definedName name="rrr" localSheetId="0">#REF!</definedName>
    <definedName name="rrr">#REF!</definedName>
    <definedName name="s" localSheetId="4">#REF!</definedName>
    <definedName name="s" localSheetId="9">#REF!</definedName>
    <definedName name="s" localSheetId="1">#REF!</definedName>
    <definedName name="s" localSheetId="14">#REF!</definedName>
    <definedName name="s" localSheetId="15">#REF!</definedName>
    <definedName name="s" localSheetId="16">#REF!</definedName>
    <definedName name="s" localSheetId="17">#REF!</definedName>
    <definedName name="s" localSheetId="18">#REF!</definedName>
    <definedName name="s" localSheetId="19">#REF!</definedName>
    <definedName name="s" localSheetId="2">#REF!</definedName>
    <definedName name="s" localSheetId="20">#REF!</definedName>
    <definedName name="s" localSheetId="21">#REF!</definedName>
    <definedName name="s" localSheetId="23">#REF!</definedName>
    <definedName name="s" localSheetId="3">#REF!</definedName>
    <definedName name="s" localSheetId="5">#REF!</definedName>
    <definedName name="s" localSheetId="6">#REF!</definedName>
    <definedName name="s" localSheetId="8">#REF!</definedName>
    <definedName name="s" localSheetId="0">#REF!</definedName>
    <definedName name="s">#REF!</definedName>
    <definedName name="sdf" localSheetId="4">#REF!</definedName>
    <definedName name="sdf" localSheetId="9">#REF!</definedName>
    <definedName name="sdf" localSheetId="1">#REF!</definedName>
    <definedName name="sdf" localSheetId="14">#REF!</definedName>
    <definedName name="sdf" localSheetId="15">#REF!</definedName>
    <definedName name="sdf" localSheetId="16">#REF!</definedName>
    <definedName name="sdf" localSheetId="17">#REF!</definedName>
    <definedName name="sdf" localSheetId="18">#REF!</definedName>
    <definedName name="sdf" localSheetId="19">#REF!</definedName>
    <definedName name="sdf" localSheetId="2">#REF!</definedName>
    <definedName name="sdf" localSheetId="20">#REF!</definedName>
    <definedName name="sdf" localSheetId="21">#REF!</definedName>
    <definedName name="sdf" localSheetId="23">#REF!</definedName>
    <definedName name="sdf" localSheetId="3">#REF!</definedName>
    <definedName name="sdf" localSheetId="5">#REF!</definedName>
    <definedName name="sdf" localSheetId="6">#REF!</definedName>
    <definedName name="sdf" localSheetId="8">#REF!</definedName>
    <definedName name="sdf" localSheetId="0">#REF!</definedName>
    <definedName name="sdf">#REF!</definedName>
    <definedName name="sdfrtyg" localSheetId="4">#REF!</definedName>
    <definedName name="sdfrtyg" localSheetId="9">#REF!</definedName>
    <definedName name="sdfrtyg" localSheetId="1">#REF!</definedName>
    <definedName name="sdfrtyg" localSheetId="14">#REF!</definedName>
    <definedName name="sdfrtyg" localSheetId="15">#REF!</definedName>
    <definedName name="sdfrtyg" localSheetId="16">#REF!</definedName>
    <definedName name="sdfrtyg" localSheetId="17">#REF!</definedName>
    <definedName name="sdfrtyg" localSheetId="18">#REF!</definedName>
    <definedName name="sdfrtyg" localSheetId="19">#REF!</definedName>
    <definedName name="sdfrtyg" localSheetId="2">#REF!</definedName>
    <definedName name="sdfrtyg" localSheetId="20">#REF!</definedName>
    <definedName name="sdfrtyg" localSheetId="21">#REF!</definedName>
    <definedName name="sdfrtyg" localSheetId="23">#REF!</definedName>
    <definedName name="sdfrtyg" localSheetId="3">#REF!</definedName>
    <definedName name="sdfrtyg" localSheetId="5">#REF!</definedName>
    <definedName name="sdfrtyg" localSheetId="6">#REF!</definedName>
    <definedName name="sdfrtyg" localSheetId="8">#REF!</definedName>
    <definedName name="sdfrtyg" localSheetId="0">#REF!</definedName>
    <definedName name="sdfrtyg">#REF!</definedName>
    <definedName name="sdfzs" localSheetId="4">#REF!</definedName>
    <definedName name="sdfzs" localSheetId="9">#REF!</definedName>
    <definedName name="sdfzs" localSheetId="1">#REF!</definedName>
    <definedName name="sdfzs" localSheetId="14">#REF!</definedName>
    <definedName name="sdfzs" localSheetId="15">#REF!</definedName>
    <definedName name="sdfzs" localSheetId="16">#REF!</definedName>
    <definedName name="sdfzs" localSheetId="17">#REF!</definedName>
    <definedName name="sdfzs" localSheetId="18">#REF!</definedName>
    <definedName name="sdfzs" localSheetId="19">#REF!</definedName>
    <definedName name="sdfzs" localSheetId="2">#REF!</definedName>
    <definedName name="sdfzs" localSheetId="20">#REF!</definedName>
    <definedName name="sdfzs" localSheetId="21">#REF!</definedName>
    <definedName name="sdfzs" localSheetId="23">#REF!</definedName>
    <definedName name="sdfzs" localSheetId="3">#REF!</definedName>
    <definedName name="sdfzs" localSheetId="5">#REF!</definedName>
    <definedName name="sdfzs" localSheetId="6">#REF!</definedName>
    <definedName name="sdfzs" localSheetId="8">#REF!</definedName>
    <definedName name="sdfzs" localSheetId="0">#REF!</definedName>
    <definedName name="sdfzs">#REF!</definedName>
    <definedName name="sdvv" localSheetId="4">#REF!</definedName>
    <definedName name="sdvv" localSheetId="9">#REF!</definedName>
    <definedName name="sdvv" localSheetId="1">#REF!</definedName>
    <definedName name="sdvv" localSheetId="14">#REF!</definedName>
    <definedName name="sdvv" localSheetId="15">#REF!</definedName>
    <definedName name="sdvv" localSheetId="16">#REF!</definedName>
    <definedName name="sdvv" localSheetId="17">#REF!</definedName>
    <definedName name="sdvv" localSheetId="18">#REF!</definedName>
    <definedName name="sdvv" localSheetId="19">#REF!</definedName>
    <definedName name="sdvv" localSheetId="2">#REF!</definedName>
    <definedName name="sdvv" localSheetId="20">#REF!</definedName>
    <definedName name="sdvv" localSheetId="21">#REF!</definedName>
    <definedName name="sdvv" localSheetId="23">#REF!</definedName>
    <definedName name="sdvv" localSheetId="3">#REF!</definedName>
    <definedName name="sdvv" localSheetId="5">#REF!</definedName>
    <definedName name="sdvv" localSheetId="6">#REF!</definedName>
    <definedName name="sdvv" localSheetId="8">#REF!</definedName>
    <definedName name="sdvv" localSheetId="0">#REF!</definedName>
    <definedName name="sdvv">#REF!</definedName>
    <definedName name="sg" localSheetId="4">#REF!</definedName>
    <definedName name="sg" localSheetId="9">#REF!</definedName>
    <definedName name="sg" localSheetId="1">#REF!</definedName>
    <definedName name="sg" localSheetId="14">#REF!</definedName>
    <definedName name="sg" localSheetId="15">#REF!</definedName>
    <definedName name="sg" localSheetId="16">#REF!</definedName>
    <definedName name="sg" localSheetId="17">#REF!</definedName>
    <definedName name="sg" localSheetId="18">#REF!</definedName>
    <definedName name="sg" localSheetId="19">#REF!</definedName>
    <definedName name="sg" localSheetId="2">#REF!</definedName>
    <definedName name="sg" localSheetId="20">#REF!</definedName>
    <definedName name="sg" localSheetId="21">#REF!</definedName>
    <definedName name="sg" localSheetId="23">#REF!</definedName>
    <definedName name="sg" localSheetId="3">#REF!</definedName>
    <definedName name="sg" localSheetId="5">#REF!</definedName>
    <definedName name="sg" localSheetId="6">#REF!</definedName>
    <definedName name="sg" localSheetId="8">#REF!</definedName>
    <definedName name="sg" localSheetId="0">#REF!</definedName>
    <definedName name="sg">#REF!</definedName>
    <definedName name="ss" localSheetId="4">#REF!</definedName>
    <definedName name="ss" localSheetId="9">#REF!</definedName>
    <definedName name="ss" localSheetId="1">#REF!</definedName>
    <definedName name="ss" localSheetId="14">#REF!</definedName>
    <definedName name="ss" localSheetId="15">#REF!</definedName>
    <definedName name="ss" localSheetId="16">#REF!</definedName>
    <definedName name="ss" localSheetId="17">#REF!</definedName>
    <definedName name="ss" localSheetId="18">#REF!</definedName>
    <definedName name="ss" localSheetId="19">#REF!</definedName>
    <definedName name="ss" localSheetId="2">#REF!</definedName>
    <definedName name="ss" localSheetId="20">#REF!</definedName>
    <definedName name="ss" localSheetId="21">#REF!</definedName>
    <definedName name="ss" localSheetId="23">#REF!</definedName>
    <definedName name="ss" localSheetId="3">#REF!</definedName>
    <definedName name="ss" localSheetId="5">#REF!</definedName>
    <definedName name="ss" localSheetId="6">#REF!</definedName>
    <definedName name="ss" localSheetId="8">#REF!</definedName>
    <definedName name="ss" localSheetId="0">#REF!</definedName>
    <definedName name="ss">#REF!</definedName>
    <definedName name="ssd" localSheetId="4">#REF!</definedName>
    <definedName name="ssd" localSheetId="9">#REF!</definedName>
    <definedName name="ssd" localSheetId="1">#REF!</definedName>
    <definedName name="ssd" localSheetId="14">#REF!</definedName>
    <definedName name="ssd" localSheetId="15">#REF!</definedName>
    <definedName name="ssd" localSheetId="16">#REF!</definedName>
    <definedName name="ssd" localSheetId="17">#REF!</definedName>
    <definedName name="ssd" localSheetId="18">#REF!</definedName>
    <definedName name="ssd" localSheetId="19">#REF!</definedName>
    <definedName name="ssd" localSheetId="2">#REF!</definedName>
    <definedName name="ssd" localSheetId="20">#REF!</definedName>
    <definedName name="ssd" localSheetId="21">#REF!</definedName>
    <definedName name="ssd" localSheetId="23">#REF!</definedName>
    <definedName name="ssd" localSheetId="3">#REF!</definedName>
    <definedName name="ssd" localSheetId="5">#REF!</definedName>
    <definedName name="ssd" localSheetId="6">#REF!</definedName>
    <definedName name="ssd" localSheetId="8">#REF!</definedName>
    <definedName name="ssd" localSheetId="0">#REF!</definedName>
    <definedName name="ssd">#REF!</definedName>
    <definedName name="sssd" localSheetId="4">#REF!</definedName>
    <definedName name="sssd" localSheetId="9">#REF!</definedName>
    <definedName name="sssd" localSheetId="1">#REF!</definedName>
    <definedName name="sssd" localSheetId="14">#REF!</definedName>
    <definedName name="sssd" localSheetId="15">#REF!</definedName>
    <definedName name="sssd" localSheetId="16">#REF!</definedName>
    <definedName name="sssd" localSheetId="17">#REF!</definedName>
    <definedName name="sssd" localSheetId="18">#REF!</definedName>
    <definedName name="sssd" localSheetId="19">#REF!</definedName>
    <definedName name="sssd" localSheetId="2">#REF!</definedName>
    <definedName name="sssd" localSheetId="20">#REF!</definedName>
    <definedName name="sssd" localSheetId="21">#REF!</definedName>
    <definedName name="sssd" localSheetId="23">#REF!</definedName>
    <definedName name="sssd" localSheetId="3">#REF!</definedName>
    <definedName name="sssd" localSheetId="5">#REF!</definedName>
    <definedName name="sssd" localSheetId="6">#REF!</definedName>
    <definedName name="sssd" localSheetId="8">#REF!</definedName>
    <definedName name="sssd" localSheetId="0">#REF!</definedName>
    <definedName name="sssd">#REF!</definedName>
    <definedName name="ssssssssssssss" localSheetId="4">#REF!</definedName>
    <definedName name="ssssssssssssss" localSheetId="9">#REF!</definedName>
    <definedName name="ssssssssssssss" localSheetId="1">#REF!</definedName>
    <definedName name="ssssssssssssss" localSheetId="14">#REF!</definedName>
    <definedName name="ssssssssssssss" localSheetId="15">#REF!</definedName>
    <definedName name="ssssssssssssss" localSheetId="16">#REF!</definedName>
    <definedName name="ssssssssssssss" localSheetId="17">#REF!</definedName>
    <definedName name="ssssssssssssss" localSheetId="18">#REF!</definedName>
    <definedName name="ssssssssssssss" localSheetId="19">#REF!</definedName>
    <definedName name="ssssssssssssss" localSheetId="2">#REF!</definedName>
    <definedName name="ssssssssssssss" localSheetId="20">#REF!</definedName>
    <definedName name="ssssssssssssss" localSheetId="21">#REF!</definedName>
    <definedName name="ssssssssssssss" localSheetId="23">#REF!</definedName>
    <definedName name="ssssssssssssss" localSheetId="3">#REF!</definedName>
    <definedName name="ssssssssssssss" localSheetId="5">#REF!</definedName>
    <definedName name="ssssssssssssss" localSheetId="6">#REF!</definedName>
    <definedName name="ssssssssssssss" localSheetId="8">#REF!</definedName>
    <definedName name="ssssssssssssss" localSheetId="0">#REF!</definedName>
    <definedName name="ssssssssssssss">#REF!</definedName>
    <definedName name="t" localSheetId="4">#REF!</definedName>
    <definedName name="t" localSheetId="9">#REF!</definedName>
    <definedName name="t" localSheetId="1">#REF!</definedName>
    <definedName name="t" localSheetId="14">#REF!</definedName>
    <definedName name="t" localSheetId="15">#REF!</definedName>
    <definedName name="t" localSheetId="16">#REF!</definedName>
    <definedName name="t" localSheetId="17">#REF!</definedName>
    <definedName name="t" localSheetId="18">#REF!</definedName>
    <definedName name="t" localSheetId="19">#REF!</definedName>
    <definedName name="t" localSheetId="2">#REF!</definedName>
    <definedName name="t" localSheetId="20">#REF!</definedName>
    <definedName name="t" localSheetId="21">#REF!</definedName>
    <definedName name="t" localSheetId="23">#REF!</definedName>
    <definedName name="t" localSheetId="3">#REF!</definedName>
    <definedName name="t" localSheetId="5">#REF!</definedName>
    <definedName name="t" localSheetId="6">#REF!</definedName>
    <definedName name="t" localSheetId="8">#REF!</definedName>
    <definedName name="t" localSheetId="0">#REF!</definedName>
    <definedName name="t">#REF!</definedName>
    <definedName name="tav" localSheetId="4">#REF!</definedName>
    <definedName name="tav" localSheetId="9">#REF!</definedName>
    <definedName name="tav" localSheetId="1">#REF!</definedName>
    <definedName name="tav" localSheetId="14">#REF!</definedName>
    <definedName name="tav" localSheetId="15">#REF!</definedName>
    <definedName name="tav" localSheetId="16">#REF!</definedName>
    <definedName name="tav" localSheetId="17">#REF!</definedName>
    <definedName name="tav" localSheetId="18">#REF!</definedName>
    <definedName name="tav" localSheetId="19">#REF!</definedName>
    <definedName name="tav" localSheetId="2">#REF!</definedName>
    <definedName name="tav" localSheetId="20">#REF!</definedName>
    <definedName name="tav" localSheetId="21">#REF!</definedName>
    <definedName name="tav" localSheetId="23">#REF!</definedName>
    <definedName name="tav" localSheetId="3">#REF!</definedName>
    <definedName name="tav" localSheetId="5">#REF!</definedName>
    <definedName name="tav" localSheetId="6">#REF!</definedName>
    <definedName name="tav" localSheetId="8">#REF!</definedName>
    <definedName name="tav" localSheetId="0">#REF!</definedName>
    <definedName name="tav">#REF!</definedName>
    <definedName name="tavola" localSheetId="4">#REF!</definedName>
    <definedName name="tavola" localSheetId="9">#REF!</definedName>
    <definedName name="tavola" localSheetId="1">#REF!</definedName>
    <definedName name="tavola" localSheetId="14">#REF!</definedName>
    <definedName name="tavola" localSheetId="15">#REF!</definedName>
    <definedName name="tavola" localSheetId="16">#REF!</definedName>
    <definedName name="tavola" localSheetId="17">#REF!</definedName>
    <definedName name="tavola" localSheetId="18">#REF!</definedName>
    <definedName name="tavola" localSheetId="19">#REF!</definedName>
    <definedName name="tavola" localSheetId="2">#REF!</definedName>
    <definedName name="tavola" localSheetId="20">#REF!</definedName>
    <definedName name="tavola" localSheetId="21">#REF!</definedName>
    <definedName name="tavola" localSheetId="23">#REF!</definedName>
    <definedName name="tavola" localSheetId="3">#REF!</definedName>
    <definedName name="tavola" localSheetId="5">#REF!</definedName>
    <definedName name="tavola" localSheetId="6">#REF!</definedName>
    <definedName name="tavola" localSheetId="8">#REF!</definedName>
    <definedName name="tavola" localSheetId="0">#REF!</definedName>
    <definedName name="tavola">#REF!</definedName>
    <definedName name="thy" localSheetId="4">#REF!</definedName>
    <definedName name="thy" localSheetId="9">#REF!</definedName>
    <definedName name="thy" localSheetId="1">#REF!</definedName>
    <definedName name="thy" localSheetId="14">#REF!</definedName>
    <definedName name="thy" localSheetId="15">#REF!</definedName>
    <definedName name="thy" localSheetId="16">#REF!</definedName>
    <definedName name="thy" localSheetId="17">#REF!</definedName>
    <definedName name="thy" localSheetId="18">#REF!</definedName>
    <definedName name="thy" localSheetId="19">#REF!</definedName>
    <definedName name="thy" localSheetId="2">#REF!</definedName>
    <definedName name="thy" localSheetId="20">#REF!</definedName>
    <definedName name="thy" localSheetId="21">#REF!</definedName>
    <definedName name="thy" localSheetId="23">#REF!</definedName>
    <definedName name="thy" localSheetId="3">#REF!</definedName>
    <definedName name="thy" localSheetId="5">#REF!</definedName>
    <definedName name="thy" localSheetId="6">#REF!</definedName>
    <definedName name="thy" localSheetId="8">#REF!</definedName>
    <definedName name="thy" localSheetId="0">#REF!</definedName>
    <definedName name="thy">#REF!</definedName>
    <definedName name="Titoli_stampa_MI" localSheetId="4">#REF!</definedName>
    <definedName name="Titoli_stampa_MI" localSheetId="9">#REF!</definedName>
    <definedName name="Titoli_stampa_MI" localSheetId="1">#REF!</definedName>
    <definedName name="Titoli_stampa_MI" localSheetId="14">#REF!</definedName>
    <definedName name="Titoli_stampa_MI" localSheetId="15">#REF!</definedName>
    <definedName name="Titoli_stampa_MI" localSheetId="16">#REF!</definedName>
    <definedName name="Titoli_stampa_MI" localSheetId="17">#REF!</definedName>
    <definedName name="Titoli_stampa_MI" localSheetId="18">#REF!</definedName>
    <definedName name="Titoli_stampa_MI" localSheetId="19">#REF!</definedName>
    <definedName name="Titoli_stampa_MI" localSheetId="2">#REF!</definedName>
    <definedName name="Titoli_stampa_MI" localSheetId="20">#REF!</definedName>
    <definedName name="Titoli_stampa_MI" localSheetId="21">#REF!</definedName>
    <definedName name="Titoli_stampa_MI" localSheetId="23">#REF!</definedName>
    <definedName name="Titoli_stampa_MI" localSheetId="3">#REF!</definedName>
    <definedName name="Titoli_stampa_MI" localSheetId="5">#REF!</definedName>
    <definedName name="Titoli_stampa_MI" localSheetId="6">#REF!</definedName>
    <definedName name="Titoli_stampa_MI" localSheetId="8">#REF!</definedName>
    <definedName name="Titoli_stampa_MI" localSheetId="0">#REF!</definedName>
    <definedName name="Titoli_stampa_MI">#REF!</definedName>
    <definedName name="tp" localSheetId="4">#REF!</definedName>
    <definedName name="tp" localSheetId="9">#REF!</definedName>
    <definedName name="tp" localSheetId="1">#REF!</definedName>
    <definedName name="tp" localSheetId="14">#REF!</definedName>
    <definedName name="tp" localSheetId="15">#REF!</definedName>
    <definedName name="tp" localSheetId="16">#REF!</definedName>
    <definedName name="tp" localSheetId="17">#REF!</definedName>
    <definedName name="tp" localSheetId="18">#REF!</definedName>
    <definedName name="tp" localSheetId="19">#REF!</definedName>
    <definedName name="tp" localSheetId="2">#REF!</definedName>
    <definedName name="tp" localSheetId="20">#REF!</definedName>
    <definedName name="tp" localSheetId="21">#REF!</definedName>
    <definedName name="tp" localSheetId="23">#REF!</definedName>
    <definedName name="tp" localSheetId="3">#REF!</definedName>
    <definedName name="tp" localSheetId="5">#REF!</definedName>
    <definedName name="tp" localSheetId="6">#REF!</definedName>
    <definedName name="tp" localSheetId="8">#REF!</definedName>
    <definedName name="tp" localSheetId="0">#REF!</definedName>
    <definedName name="tp">#REF!</definedName>
    <definedName name="tpl" localSheetId="4">#REF!</definedName>
    <definedName name="tpl" localSheetId="9">#REF!</definedName>
    <definedName name="tpl" localSheetId="1">#REF!</definedName>
    <definedName name="tpl" localSheetId="14">#REF!</definedName>
    <definedName name="tpl" localSheetId="15">#REF!</definedName>
    <definedName name="tpl" localSheetId="16">#REF!</definedName>
    <definedName name="tpl" localSheetId="17">#REF!</definedName>
    <definedName name="tpl" localSheetId="18">#REF!</definedName>
    <definedName name="tpl" localSheetId="19">#REF!</definedName>
    <definedName name="tpl" localSheetId="2">#REF!</definedName>
    <definedName name="tpl" localSheetId="20">#REF!</definedName>
    <definedName name="tpl" localSheetId="21">#REF!</definedName>
    <definedName name="tpl" localSheetId="23">#REF!</definedName>
    <definedName name="tpl" localSheetId="3">#REF!</definedName>
    <definedName name="tpl" localSheetId="5">#REF!</definedName>
    <definedName name="tpl" localSheetId="6">#REF!</definedName>
    <definedName name="tpl" localSheetId="8">#REF!</definedName>
    <definedName name="tpl" localSheetId="0">#REF!</definedName>
    <definedName name="tpl">#REF!</definedName>
    <definedName name="tpoò" localSheetId="4">#REF!</definedName>
    <definedName name="tpoò" localSheetId="9">#REF!</definedName>
    <definedName name="tpoò" localSheetId="1">#REF!</definedName>
    <definedName name="tpoò" localSheetId="14">#REF!</definedName>
    <definedName name="tpoò" localSheetId="15">#REF!</definedName>
    <definedName name="tpoò" localSheetId="16">#REF!</definedName>
    <definedName name="tpoò" localSheetId="17">#REF!</definedName>
    <definedName name="tpoò" localSheetId="18">#REF!</definedName>
    <definedName name="tpoò" localSheetId="19">#REF!</definedName>
    <definedName name="tpoò" localSheetId="2">#REF!</definedName>
    <definedName name="tpoò" localSheetId="20">#REF!</definedName>
    <definedName name="tpoò" localSheetId="21">#REF!</definedName>
    <definedName name="tpoò" localSheetId="23">#REF!</definedName>
    <definedName name="tpoò" localSheetId="3">#REF!</definedName>
    <definedName name="tpoò" localSheetId="5">#REF!</definedName>
    <definedName name="tpoò" localSheetId="6">#REF!</definedName>
    <definedName name="tpoò" localSheetId="8">#REF!</definedName>
    <definedName name="tpoò" localSheetId="0">#REF!</definedName>
    <definedName name="tpoò">#REF!</definedName>
    <definedName name="TT" localSheetId="4">#REF!</definedName>
    <definedName name="TT" localSheetId="9">#REF!</definedName>
    <definedName name="TT" localSheetId="1">#REF!</definedName>
    <definedName name="TT" localSheetId="14">#REF!</definedName>
    <definedName name="TT" localSheetId="15">#REF!</definedName>
    <definedName name="TT" localSheetId="16">#REF!</definedName>
    <definedName name="TT" localSheetId="17">#REF!</definedName>
    <definedName name="TT" localSheetId="18">#REF!</definedName>
    <definedName name="TT" localSheetId="19">#REF!</definedName>
    <definedName name="TT" localSheetId="2">#REF!</definedName>
    <definedName name="TT" localSheetId="20">#REF!</definedName>
    <definedName name="TT" localSheetId="21">#REF!</definedName>
    <definedName name="TT" localSheetId="23">#REF!</definedName>
    <definedName name="TT" localSheetId="3">#REF!</definedName>
    <definedName name="TT" localSheetId="5">#REF!</definedName>
    <definedName name="TT" localSheetId="6">#REF!</definedName>
    <definedName name="TT" localSheetId="8">#REF!</definedName>
    <definedName name="TT" localSheetId="0">#REF!</definedName>
    <definedName name="TT">#REF!</definedName>
    <definedName name="tttt" localSheetId="4">#REF!</definedName>
    <definedName name="tttt" localSheetId="9">#REF!</definedName>
    <definedName name="tttt" localSheetId="1">#REF!</definedName>
    <definedName name="tttt" localSheetId="14">#REF!</definedName>
    <definedName name="tttt" localSheetId="15">#REF!</definedName>
    <definedName name="tttt" localSheetId="16">#REF!</definedName>
    <definedName name="tttt" localSheetId="17">#REF!</definedName>
    <definedName name="tttt" localSheetId="18">#REF!</definedName>
    <definedName name="tttt" localSheetId="19">#REF!</definedName>
    <definedName name="tttt" localSheetId="2">#REF!</definedName>
    <definedName name="tttt" localSheetId="20">#REF!</definedName>
    <definedName name="tttt" localSheetId="21">#REF!</definedName>
    <definedName name="tttt" localSheetId="23">#REF!</definedName>
    <definedName name="tttt" localSheetId="3">#REF!</definedName>
    <definedName name="tttt" localSheetId="5">#REF!</definedName>
    <definedName name="tttt" localSheetId="6">#REF!</definedName>
    <definedName name="tttt" localSheetId="8">#REF!</definedName>
    <definedName name="tttt" localSheetId="0">#REF!</definedName>
    <definedName name="tttt">#REF!</definedName>
    <definedName name="tyiuty" localSheetId="4">#REF!</definedName>
    <definedName name="tyiuty" localSheetId="9">#REF!</definedName>
    <definedName name="tyiuty" localSheetId="1">#REF!</definedName>
    <definedName name="tyiuty" localSheetId="14">#REF!</definedName>
    <definedName name="tyiuty" localSheetId="15">#REF!</definedName>
    <definedName name="tyiuty" localSheetId="16">#REF!</definedName>
    <definedName name="tyiuty" localSheetId="17">#REF!</definedName>
    <definedName name="tyiuty" localSheetId="18">#REF!</definedName>
    <definedName name="tyiuty" localSheetId="19">#REF!</definedName>
    <definedName name="tyiuty" localSheetId="2">#REF!</definedName>
    <definedName name="tyiuty" localSheetId="20">#REF!</definedName>
    <definedName name="tyiuty" localSheetId="21">#REF!</definedName>
    <definedName name="tyiuty" localSheetId="23">#REF!</definedName>
    <definedName name="tyiuty" localSheetId="3">#REF!</definedName>
    <definedName name="tyiuty" localSheetId="5">#REF!</definedName>
    <definedName name="tyiuty" localSheetId="6">#REF!</definedName>
    <definedName name="tyiuty" localSheetId="8">#REF!</definedName>
    <definedName name="tyiuty" localSheetId="0">#REF!</definedName>
    <definedName name="tyiuty">#REF!</definedName>
    <definedName name="tyokyt" localSheetId="4">#REF!</definedName>
    <definedName name="tyokyt" localSheetId="9">#REF!</definedName>
    <definedName name="tyokyt" localSheetId="1">#REF!</definedName>
    <definedName name="tyokyt" localSheetId="14">#REF!</definedName>
    <definedName name="tyokyt" localSheetId="15">#REF!</definedName>
    <definedName name="tyokyt" localSheetId="16">#REF!</definedName>
    <definedName name="tyokyt" localSheetId="17">#REF!</definedName>
    <definedName name="tyokyt" localSheetId="18">#REF!</definedName>
    <definedName name="tyokyt" localSheetId="19">#REF!</definedName>
    <definedName name="tyokyt" localSheetId="2">#REF!</definedName>
    <definedName name="tyokyt" localSheetId="20">#REF!</definedName>
    <definedName name="tyokyt" localSheetId="21">#REF!</definedName>
    <definedName name="tyokyt" localSheetId="23">#REF!</definedName>
    <definedName name="tyokyt" localSheetId="3">#REF!</definedName>
    <definedName name="tyokyt" localSheetId="5">#REF!</definedName>
    <definedName name="tyokyt" localSheetId="6">#REF!</definedName>
    <definedName name="tyokyt" localSheetId="8">#REF!</definedName>
    <definedName name="tyokyt" localSheetId="0">#REF!</definedName>
    <definedName name="tyokyt">#REF!</definedName>
    <definedName name="ukyt" localSheetId="4">#REF!</definedName>
    <definedName name="ukyt" localSheetId="9">#REF!</definedName>
    <definedName name="ukyt" localSheetId="1">#REF!</definedName>
    <definedName name="ukyt" localSheetId="14">#REF!</definedName>
    <definedName name="ukyt" localSheetId="15">#REF!</definedName>
    <definedName name="ukyt" localSheetId="16">#REF!</definedName>
    <definedName name="ukyt" localSheetId="17">#REF!</definedName>
    <definedName name="ukyt" localSheetId="18">#REF!</definedName>
    <definedName name="ukyt" localSheetId="19">#REF!</definedName>
    <definedName name="ukyt" localSheetId="2">#REF!</definedName>
    <definedName name="ukyt" localSheetId="20">#REF!</definedName>
    <definedName name="ukyt" localSheetId="21">#REF!</definedName>
    <definedName name="ukyt" localSheetId="23">#REF!</definedName>
    <definedName name="ukyt" localSheetId="3">#REF!</definedName>
    <definedName name="ukyt" localSheetId="5">#REF!</definedName>
    <definedName name="ukyt" localSheetId="6">#REF!</definedName>
    <definedName name="ukyt" localSheetId="8">#REF!</definedName>
    <definedName name="ukyt" localSheetId="0">#REF!</definedName>
    <definedName name="ukyt">#REF!</definedName>
    <definedName name="umb" localSheetId="4">#REF!</definedName>
    <definedName name="umb" localSheetId="9">#REF!</definedName>
    <definedName name="umb" localSheetId="1">#REF!</definedName>
    <definedName name="umb" localSheetId="14">#REF!</definedName>
    <definedName name="umb" localSheetId="15">#REF!</definedName>
    <definedName name="umb" localSheetId="16">#REF!</definedName>
    <definedName name="umb" localSheetId="17">#REF!</definedName>
    <definedName name="umb" localSheetId="18">#REF!</definedName>
    <definedName name="umb" localSheetId="19">#REF!</definedName>
    <definedName name="umb" localSheetId="2">#REF!</definedName>
    <definedName name="umb" localSheetId="20">#REF!</definedName>
    <definedName name="umb" localSheetId="21">#REF!</definedName>
    <definedName name="umb" localSheetId="23">#REF!</definedName>
    <definedName name="umb" localSheetId="3">#REF!</definedName>
    <definedName name="umb" localSheetId="5">#REF!</definedName>
    <definedName name="umb" localSheetId="6">#REF!</definedName>
    <definedName name="umb" localSheetId="8">#REF!</definedName>
    <definedName name="umb" localSheetId="0">#REF!</definedName>
    <definedName name="umb">#REF!</definedName>
    <definedName name="UU" localSheetId="4">#REF!</definedName>
    <definedName name="UU" localSheetId="9">#REF!</definedName>
    <definedName name="UU" localSheetId="1">#REF!</definedName>
    <definedName name="UU" localSheetId="14">#REF!</definedName>
    <definedName name="UU" localSheetId="15">#REF!</definedName>
    <definedName name="UU" localSheetId="16">#REF!</definedName>
    <definedName name="UU" localSheetId="17">#REF!</definedName>
    <definedName name="UU" localSheetId="18">#REF!</definedName>
    <definedName name="UU" localSheetId="19">#REF!</definedName>
    <definedName name="UU" localSheetId="2">#REF!</definedName>
    <definedName name="UU" localSheetId="20">#REF!</definedName>
    <definedName name="UU" localSheetId="21">#REF!</definedName>
    <definedName name="UU" localSheetId="23">#REF!</definedName>
    <definedName name="UU" localSheetId="3">#REF!</definedName>
    <definedName name="UU" localSheetId="5">#REF!</definedName>
    <definedName name="UU" localSheetId="6">#REF!</definedName>
    <definedName name="UU" localSheetId="8">#REF!</definedName>
    <definedName name="UU" localSheetId="0">#REF!</definedName>
    <definedName name="UU">#REF!</definedName>
    <definedName name="uuu" localSheetId="4">#REF!</definedName>
    <definedName name="uuu" localSheetId="9">#REF!</definedName>
    <definedName name="uuu" localSheetId="1">#REF!</definedName>
    <definedName name="uuu" localSheetId="14">#REF!</definedName>
    <definedName name="uuu" localSheetId="15">#REF!</definedName>
    <definedName name="uuu" localSheetId="16">#REF!</definedName>
    <definedName name="uuu" localSheetId="17">#REF!</definedName>
    <definedName name="uuu" localSheetId="18">#REF!</definedName>
    <definedName name="uuu" localSheetId="19">#REF!</definedName>
    <definedName name="uuu" localSheetId="2">#REF!</definedName>
    <definedName name="uuu" localSheetId="20">#REF!</definedName>
    <definedName name="uuu" localSheetId="21">#REF!</definedName>
    <definedName name="uuu" localSheetId="23">#REF!</definedName>
    <definedName name="uuu" localSheetId="3">#REF!</definedName>
    <definedName name="uuu" localSheetId="5">#REF!</definedName>
    <definedName name="uuu" localSheetId="6">#REF!</definedName>
    <definedName name="uuu" localSheetId="8">#REF!</definedName>
    <definedName name="uuu" localSheetId="0">#REF!</definedName>
    <definedName name="uuu">#REF!</definedName>
    <definedName name="vfgtyh" localSheetId="4">#REF!</definedName>
    <definedName name="vfgtyh" localSheetId="9">#REF!</definedName>
    <definedName name="vfgtyh" localSheetId="1">#REF!</definedName>
    <definedName name="vfgtyh" localSheetId="14">#REF!</definedName>
    <definedName name="vfgtyh" localSheetId="15">#REF!</definedName>
    <definedName name="vfgtyh" localSheetId="16">#REF!</definedName>
    <definedName name="vfgtyh" localSheetId="17">#REF!</definedName>
    <definedName name="vfgtyh" localSheetId="18">#REF!</definedName>
    <definedName name="vfgtyh" localSheetId="19">#REF!</definedName>
    <definedName name="vfgtyh" localSheetId="2">#REF!</definedName>
    <definedName name="vfgtyh" localSheetId="20">#REF!</definedName>
    <definedName name="vfgtyh" localSheetId="21">#REF!</definedName>
    <definedName name="vfgtyh" localSheetId="23">#REF!</definedName>
    <definedName name="vfgtyh" localSheetId="3">#REF!</definedName>
    <definedName name="vfgtyh" localSheetId="5">#REF!</definedName>
    <definedName name="vfgtyh" localSheetId="6">#REF!</definedName>
    <definedName name="vfgtyh" localSheetId="8">#REF!</definedName>
    <definedName name="vfgtyh" localSheetId="0">#REF!</definedName>
    <definedName name="vfgtyh">#REF!</definedName>
    <definedName name="vn" localSheetId="4">#REF!</definedName>
    <definedName name="vn" localSheetId="9">#REF!</definedName>
    <definedName name="vn" localSheetId="1">#REF!</definedName>
    <definedName name="vn" localSheetId="14">#REF!</definedName>
    <definedName name="vn" localSheetId="15">#REF!</definedName>
    <definedName name="vn" localSheetId="16">#REF!</definedName>
    <definedName name="vn" localSheetId="17">#REF!</definedName>
    <definedName name="vn" localSheetId="18">#REF!</definedName>
    <definedName name="vn" localSheetId="19">#REF!</definedName>
    <definedName name="vn" localSheetId="2">#REF!</definedName>
    <definedName name="vn" localSheetId="20">#REF!</definedName>
    <definedName name="vn" localSheetId="21">#REF!</definedName>
    <definedName name="vn" localSheetId="23">#REF!</definedName>
    <definedName name="vn" localSheetId="3">#REF!</definedName>
    <definedName name="vn" localSheetId="5">#REF!</definedName>
    <definedName name="vn" localSheetId="6">#REF!</definedName>
    <definedName name="vn" localSheetId="8">#REF!</definedName>
    <definedName name="vn" localSheetId="0">#REF!</definedName>
    <definedName name="vn">#REF!</definedName>
    <definedName name="vv" localSheetId="4">#REF!</definedName>
    <definedName name="vv" localSheetId="9">#REF!</definedName>
    <definedName name="vv" localSheetId="1">#REF!</definedName>
    <definedName name="vv" localSheetId="14">#REF!</definedName>
    <definedName name="vv" localSheetId="15">#REF!</definedName>
    <definedName name="vv" localSheetId="16">#REF!</definedName>
    <definedName name="vv" localSheetId="17">#REF!</definedName>
    <definedName name="vv" localSheetId="18">#REF!</definedName>
    <definedName name="vv" localSheetId="19">#REF!</definedName>
    <definedName name="vv" localSheetId="2">#REF!</definedName>
    <definedName name="vv" localSheetId="20">#REF!</definedName>
    <definedName name="vv" localSheetId="21">#REF!</definedName>
    <definedName name="vv" localSheetId="23">#REF!</definedName>
    <definedName name="vv" localSheetId="3">#REF!</definedName>
    <definedName name="vv" localSheetId="5">#REF!</definedName>
    <definedName name="vv" localSheetId="6">#REF!</definedName>
    <definedName name="vv" localSheetId="8">#REF!</definedName>
    <definedName name="vv" localSheetId="0">#REF!</definedName>
    <definedName name="vv">#REF!</definedName>
    <definedName name="vxxv" localSheetId="4">#REF!</definedName>
    <definedName name="vxxv" localSheetId="9">#REF!</definedName>
    <definedName name="vxxv" localSheetId="1">#REF!</definedName>
    <definedName name="vxxv" localSheetId="14">#REF!</definedName>
    <definedName name="vxxv" localSheetId="15">#REF!</definedName>
    <definedName name="vxxv" localSheetId="16">#REF!</definedName>
    <definedName name="vxxv" localSheetId="17">#REF!</definedName>
    <definedName name="vxxv" localSheetId="18">#REF!</definedName>
    <definedName name="vxxv" localSheetId="19">#REF!</definedName>
    <definedName name="vxxv" localSheetId="2">#REF!</definedName>
    <definedName name="vxxv" localSheetId="20">#REF!</definedName>
    <definedName name="vxxv" localSheetId="21">#REF!</definedName>
    <definedName name="vxxv" localSheetId="23">#REF!</definedName>
    <definedName name="vxxv" localSheetId="3">#REF!</definedName>
    <definedName name="vxxv" localSheetId="5">#REF!</definedName>
    <definedName name="vxxv" localSheetId="6">#REF!</definedName>
    <definedName name="vxxv" localSheetId="8">#REF!</definedName>
    <definedName name="vxxv" localSheetId="0">#REF!</definedName>
    <definedName name="vxxv">#REF!</definedName>
    <definedName name="W" localSheetId="4">#REF!</definedName>
    <definedName name="W" localSheetId="9">#REF!</definedName>
    <definedName name="W" localSheetId="1">#REF!</definedName>
    <definedName name="W" localSheetId="14">#REF!</definedName>
    <definedName name="W" localSheetId="15">#REF!</definedName>
    <definedName name="W" localSheetId="16">#REF!</definedName>
    <definedName name="W" localSheetId="17">#REF!</definedName>
    <definedName name="W" localSheetId="18">#REF!</definedName>
    <definedName name="W" localSheetId="19">#REF!</definedName>
    <definedName name="W" localSheetId="2">#REF!</definedName>
    <definedName name="W" localSheetId="20">#REF!</definedName>
    <definedName name="W" localSheetId="21">#REF!</definedName>
    <definedName name="W" localSheetId="23">#REF!</definedName>
    <definedName name="W" localSheetId="3">#REF!</definedName>
    <definedName name="W" localSheetId="5">#REF!</definedName>
    <definedName name="W" localSheetId="6">#REF!</definedName>
    <definedName name="W" localSheetId="8">#REF!</definedName>
    <definedName name="W" localSheetId="0">#REF!</definedName>
    <definedName name="W">#REF!</definedName>
    <definedName name="www" localSheetId="4">#REF!</definedName>
    <definedName name="www" localSheetId="9">#REF!</definedName>
    <definedName name="www" localSheetId="1">#REF!</definedName>
    <definedName name="www" localSheetId="14">#REF!</definedName>
    <definedName name="www" localSheetId="15">#REF!</definedName>
    <definedName name="www" localSheetId="16">#REF!</definedName>
    <definedName name="www" localSheetId="17">#REF!</definedName>
    <definedName name="www" localSheetId="18">#REF!</definedName>
    <definedName name="www" localSheetId="19">#REF!</definedName>
    <definedName name="www" localSheetId="2">#REF!</definedName>
    <definedName name="www" localSheetId="20">#REF!</definedName>
    <definedName name="www" localSheetId="21">#REF!</definedName>
    <definedName name="www" localSheetId="23">#REF!</definedName>
    <definedName name="www" localSheetId="3">#REF!</definedName>
    <definedName name="www" localSheetId="5">#REF!</definedName>
    <definedName name="www" localSheetId="6">#REF!</definedName>
    <definedName name="www" localSheetId="8">#REF!</definedName>
    <definedName name="www" localSheetId="0">#REF!</definedName>
    <definedName name="www">#REF!</definedName>
    <definedName name="wwwwwwwwwwwwww" localSheetId="4">#REF!</definedName>
    <definedName name="wwwwwwwwwwwwww" localSheetId="9">#REF!</definedName>
    <definedName name="wwwwwwwwwwwwww" localSheetId="1">#REF!</definedName>
    <definedName name="wwwwwwwwwwwwww" localSheetId="14">#REF!</definedName>
    <definedName name="wwwwwwwwwwwwww" localSheetId="15">#REF!</definedName>
    <definedName name="wwwwwwwwwwwwww" localSheetId="16">#REF!</definedName>
    <definedName name="wwwwwwwwwwwwww" localSheetId="17">#REF!</definedName>
    <definedName name="wwwwwwwwwwwwww" localSheetId="18">#REF!</definedName>
    <definedName name="wwwwwwwwwwwwww" localSheetId="19">#REF!</definedName>
    <definedName name="wwwwwwwwwwwwww" localSheetId="2">#REF!</definedName>
    <definedName name="wwwwwwwwwwwwww" localSheetId="20">#REF!</definedName>
    <definedName name="wwwwwwwwwwwwww" localSheetId="21">#REF!</definedName>
    <definedName name="wwwwwwwwwwwwww" localSheetId="23">#REF!</definedName>
    <definedName name="wwwwwwwwwwwwww" localSheetId="3">#REF!</definedName>
    <definedName name="wwwwwwwwwwwwww" localSheetId="5">#REF!</definedName>
    <definedName name="wwwwwwwwwwwwww" localSheetId="6">#REF!</definedName>
    <definedName name="wwwwwwwwwwwwww" localSheetId="8">#REF!</definedName>
    <definedName name="wwwwwwwwwwwwww" localSheetId="0">#REF!</definedName>
    <definedName name="wwwwwwwwwwwwww">#REF!</definedName>
    <definedName name="x" localSheetId="4">#REF!</definedName>
    <definedName name="x" localSheetId="9">#REF!</definedName>
    <definedName name="x" localSheetId="1">#REF!</definedName>
    <definedName name="x" localSheetId="14">#REF!</definedName>
    <definedName name="x" localSheetId="15">#REF!</definedName>
    <definedName name="x" localSheetId="16">#REF!</definedName>
    <definedName name="x" localSheetId="17">#REF!</definedName>
    <definedName name="x" localSheetId="18">#REF!</definedName>
    <definedName name="x" localSheetId="19">#REF!</definedName>
    <definedName name="x" localSheetId="2">#REF!</definedName>
    <definedName name="x" localSheetId="20">#REF!</definedName>
    <definedName name="x" localSheetId="21">#REF!</definedName>
    <definedName name="x" localSheetId="23">#REF!</definedName>
    <definedName name="x" localSheetId="3">#REF!</definedName>
    <definedName name="x" localSheetId="5">#REF!</definedName>
    <definedName name="x" localSheetId="6">#REF!</definedName>
    <definedName name="x" localSheetId="8">#REF!</definedName>
    <definedName name="x" localSheetId="0">#REF!</definedName>
    <definedName name="x">#REF!</definedName>
    <definedName name="xbcv" localSheetId="4">#REF!</definedName>
    <definedName name="xbcv" localSheetId="9">#REF!</definedName>
    <definedName name="xbcv" localSheetId="1">#REF!</definedName>
    <definedName name="xbcv" localSheetId="14">#REF!</definedName>
    <definedName name="xbcv" localSheetId="15">#REF!</definedName>
    <definedName name="xbcv" localSheetId="16">#REF!</definedName>
    <definedName name="xbcv" localSheetId="17">#REF!</definedName>
    <definedName name="xbcv" localSheetId="18">#REF!</definedName>
    <definedName name="xbcv" localSheetId="19">#REF!</definedName>
    <definedName name="xbcv" localSheetId="2">#REF!</definedName>
    <definedName name="xbcv" localSheetId="20">#REF!</definedName>
    <definedName name="xbcv" localSheetId="21">#REF!</definedName>
    <definedName name="xbcv" localSheetId="23">#REF!</definedName>
    <definedName name="xbcv" localSheetId="3">#REF!</definedName>
    <definedName name="xbcv" localSheetId="5">#REF!</definedName>
    <definedName name="xbcv" localSheetId="6">#REF!</definedName>
    <definedName name="xbcv" localSheetId="8">#REF!</definedName>
    <definedName name="xbcv" localSheetId="0">#REF!</definedName>
    <definedName name="xbcv">#REF!</definedName>
    <definedName name="xx" localSheetId="4">#REF!</definedName>
    <definedName name="xx" localSheetId="9">#REF!</definedName>
    <definedName name="xx" localSheetId="1">#REF!</definedName>
    <definedName name="xx" localSheetId="14">#REF!</definedName>
    <definedName name="xx" localSheetId="15">#REF!</definedName>
    <definedName name="xx" localSheetId="16">#REF!</definedName>
    <definedName name="xx" localSheetId="17">#REF!</definedName>
    <definedName name="xx" localSheetId="18">#REF!</definedName>
    <definedName name="xx" localSheetId="19">#REF!</definedName>
    <definedName name="xx" localSheetId="2">#REF!</definedName>
    <definedName name="xx" localSheetId="20">#REF!</definedName>
    <definedName name="xx" localSheetId="21">#REF!</definedName>
    <definedName name="xx" localSheetId="23">#REF!</definedName>
    <definedName name="xx" localSheetId="3">#REF!</definedName>
    <definedName name="xx" localSheetId="5">#REF!</definedName>
    <definedName name="xx" localSheetId="6">#REF!</definedName>
    <definedName name="xx" localSheetId="8">#REF!</definedName>
    <definedName name="xx" localSheetId="0">#REF!</definedName>
    <definedName name="xx">#REF!</definedName>
    <definedName name="xxsdf" localSheetId="4">#REF!</definedName>
    <definedName name="xxsdf" localSheetId="9">#REF!</definedName>
    <definedName name="xxsdf" localSheetId="1">#REF!</definedName>
    <definedName name="xxsdf" localSheetId="14">#REF!</definedName>
    <definedName name="xxsdf" localSheetId="15">#REF!</definedName>
    <definedName name="xxsdf" localSheetId="16">#REF!</definedName>
    <definedName name="xxsdf" localSheetId="17">#REF!</definedName>
    <definedName name="xxsdf" localSheetId="18">#REF!</definedName>
    <definedName name="xxsdf" localSheetId="19">#REF!</definedName>
    <definedName name="xxsdf" localSheetId="2">#REF!</definedName>
    <definedName name="xxsdf" localSheetId="20">#REF!</definedName>
    <definedName name="xxsdf" localSheetId="21">#REF!</definedName>
    <definedName name="xxsdf" localSheetId="23">#REF!</definedName>
    <definedName name="xxsdf" localSheetId="3">#REF!</definedName>
    <definedName name="xxsdf" localSheetId="5">#REF!</definedName>
    <definedName name="xxsdf" localSheetId="6">#REF!</definedName>
    <definedName name="xxsdf" localSheetId="8">#REF!</definedName>
    <definedName name="xxsdf" localSheetId="0">#REF!</definedName>
    <definedName name="xxsdf">#REF!</definedName>
    <definedName name="xxxd" localSheetId="4">#REF!</definedName>
    <definedName name="xxxd" localSheetId="9">#REF!</definedName>
    <definedName name="xxxd" localSheetId="1">#REF!</definedName>
    <definedName name="xxxd" localSheetId="14">#REF!</definedName>
    <definedName name="xxxd" localSheetId="15">#REF!</definedName>
    <definedName name="xxxd" localSheetId="16">#REF!</definedName>
    <definedName name="xxxd" localSheetId="17">#REF!</definedName>
    <definedName name="xxxd" localSheetId="18">#REF!</definedName>
    <definedName name="xxxd" localSheetId="19">#REF!</definedName>
    <definedName name="xxxd" localSheetId="2">#REF!</definedName>
    <definedName name="xxxd" localSheetId="20">#REF!</definedName>
    <definedName name="xxxd" localSheetId="21">#REF!</definedName>
    <definedName name="xxxd" localSheetId="23">#REF!</definedName>
    <definedName name="xxxd" localSheetId="3">#REF!</definedName>
    <definedName name="xxxd" localSheetId="5">#REF!</definedName>
    <definedName name="xxxd" localSheetId="6">#REF!</definedName>
    <definedName name="xxxd" localSheetId="8">#REF!</definedName>
    <definedName name="xxxd" localSheetId="0">#REF!</definedName>
    <definedName name="xxxd">#REF!</definedName>
    <definedName name="yiomhfd" localSheetId="4">#REF!</definedName>
    <definedName name="yiomhfd" localSheetId="9">#REF!</definedName>
    <definedName name="yiomhfd" localSheetId="1">#REF!</definedName>
    <definedName name="yiomhfd" localSheetId="14">#REF!</definedName>
    <definedName name="yiomhfd" localSheetId="15">#REF!</definedName>
    <definedName name="yiomhfd" localSheetId="16">#REF!</definedName>
    <definedName name="yiomhfd" localSheetId="17">#REF!</definedName>
    <definedName name="yiomhfd" localSheetId="18">#REF!</definedName>
    <definedName name="yiomhfd" localSheetId="19">#REF!</definedName>
    <definedName name="yiomhfd" localSheetId="2">#REF!</definedName>
    <definedName name="yiomhfd" localSheetId="20">#REF!</definedName>
    <definedName name="yiomhfd" localSheetId="21">#REF!</definedName>
    <definedName name="yiomhfd" localSheetId="23">#REF!</definedName>
    <definedName name="yiomhfd" localSheetId="3">#REF!</definedName>
    <definedName name="yiomhfd" localSheetId="5">#REF!</definedName>
    <definedName name="yiomhfd" localSheetId="6">#REF!</definedName>
    <definedName name="yiomhfd" localSheetId="8">#REF!</definedName>
    <definedName name="yiomhfd" localSheetId="0">#REF!</definedName>
    <definedName name="yiomhfd">#REF!</definedName>
    <definedName name="yuim" localSheetId="4">#REF!</definedName>
    <definedName name="yuim" localSheetId="9">#REF!</definedName>
    <definedName name="yuim" localSheetId="1">#REF!</definedName>
    <definedName name="yuim" localSheetId="14">#REF!</definedName>
    <definedName name="yuim" localSheetId="15">#REF!</definedName>
    <definedName name="yuim" localSheetId="16">#REF!</definedName>
    <definedName name="yuim" localSheetId="17">#REF!</definedName>
    <definedName name="yuim" localSheetId="18">#REF!</definedName>
    <definedName name="yuim" localSheetId="19">#REF!</definedName>
    <definedName name="yuim" localSheetId="2">#REF!</definedName>
    <definedName name="yuim" localSheetId="20">#REF!</definedName>
    <definedName name="yuim" localSheetId="21">#REF!</definedName>
    <definedName name="yuim" localSheetId="23">#REF!</definedName>
    <definedName name="yuim" localSheetId="3">#REF!</definedName>
    <definedName name="yuim" localSheetId="5">#REF!</definedName>
    <definedName name="yuim" localSheetId="6">#REF!</definedName>
    <definedName name="yuim" localSheetId="8">#REF!</definedName>
    <definedName name="yuim" localSheetId="0">#REF!</definedName>
    <definedName name="yuim">#REF!</definedName>
    <definedName name="yuop" localSheetId="4">#REF!</definedName>
    <definedName name="yuop" localSheetId="9">#REF!</definedName>
    <definedName name="yuop" localSheetId="1">#REF!</definedName>
    <definedName name="yuop" localSheetId="14">#REF!</definedName>
    <definedName name="yuop" localSheetId="15">#REF!</definedName>
    <definedName name="yuop" localSheetId="16">#REF!</definedName>
    <definedName name="yuop" localSheetId="17">#REF!</definedName>
    <definedName name="yuop" localSheetId="18">#REF!</definedName>
    <definedName name="yuop" localSheetId="19">#REF!</definedName>
    <definedName name="yuop" localSheetId="2">#REF!</definedName>
    <definedName name="yuop" localSheetId="20">#REF!</definedName>
    <definedName name="yuop" localSheetId="21">#REF!</definedName>
    <definedName name="yuop" localSheetId="23">#REF!</definedName>
    <definedName name="yuop" localSheetId="3">#REF!</definedName>
    <definedName name="yuop" localSheetId="5">#REF!</definedName>
    <definedName name="yuop" localSheetId="6">#REF!</definedName>
    <definedName name="yuop" localSheetId="8">#REF!</definedName>
    <definedName name="yuop" localSheetId="0">#REF!</definedName>
    <definedName name="yuop">#REF!</definedName>
    <definedName name="YY" localSheetId="4">#REF!</definedName>
    <definedName name="YY" localSheetId="9">#REF!</definedName>
    <definedName name="YY" localSheetId="1">#REF!</definedName>
    <definedName name="YY" localSheetId="14">#REF!</definedName>
    <definedName name="YY" localSheetId="15">#REF!</definedName>
    <definedName name="YY" localSheetId="16">#REF!</definedName>
    <definedName name="YY" localSheetId="17">#REF!</definedName>
    <definedName name="YY" localSheetId="18">#REF!</definedName>
    <definedName name="YY" localSheetId="19">#REF!</definedName>
    <definedName name="YY" localSheetId="2">#REF!</definedName>
    <definedName name="YY" localSheetId="20">#REF!</definedName>
    <definedName name="YY" localSheetId="21">#REF!</definedName>
    <definedName name="YY" localSheetId="23">#REF!</definedName>
    <definedName name="YY" localSheetId="3">#REF!</definedName>
    <definedName name="YY" localSheetId="5">#REF!</definedName>
    <definedName name="YY" localSheetId="6">#REF!</definedName>
    <definedName name="YY" localSheetId="8">#REF!</definedName>
    <definedName name="YY" localSheetId="0">#REF!</definedName>
    <definedName name="YY">#REF!</definedName>
    <definedName name="yyy" localSheetId="4">#REF!</definedName>
    <definedName name="yyy" localSheetId="9">#REF!</definedName>
    <definedName name="yyy" localSheetId="1">#REF!</definedName>
    <definedName name="yyy" localSheetId="14">#REF!</definedName>
    <definedName name="yyy" localSheetId="15">#REF!</definedName>
    <definedName name="yyy" localSheetId="16">#REF!</definedName>
    <definedName name="yyy" localSheetId="17">#REF!</definedName>
    <definedName name="yyy" localSheetId="18">#REF!</definedName>
    <definedName name="yyy" localSheetId="19">#REF!</definedName>
    <definedName name="yyy" localSheetId="2">#REF!</definedName>
    <definedName name="yyy" localSheetId="20">#REF!</definedName>
    <definedName name="yyy" localSheetId="21">#REF!</definedName>
    <definedName name="yyy" localSheetId="23">#REF!</definedName>
    <definedName name="yyy" localSheetId="3">#REF!</definedName>
    <definedName name="yyy" localSheetId="5">#REF!</definedName>
    <definedName name="yyy" localSheetId="6">#REF!</definedName>
    <definedName name="yyy" localSheetId="8">#REF!</definedName>
    <definedName name="yyy" localSheetId="0">#REF!</definedName>
    <definedName name="yyy">#REF!</definedName>
    <definedName name="yyyy" localSheetId="4">#REF!</definedName>
    <definedName name="yyyy" localSheetId="9">#REF!</definedName>
    <definedName name="yyyy" localSheetId="1">#REF!</definedName>
    <definedName name="yyyy" localSheetId="14">#REF!</definedName>
    <definedName name="yyyy" localSheetId="15">#REF!</definedName>
    <definedName name="yyyy" localSheetId="16">#REF!</definedName>
    <definedName name="yyyy" localSheetId="17">#REF!</definedName>
    <definedName name="yyyy" localSheetId="18">#REF!</definedName>
    <definedName name="yyyy" localSheetId="19">#REF!</definedName>
    <definedName name="yyyy" localSheetId="2">#REF!</definedName>
    <definedName name="yyyy" localSheetId="20">#REF!</definedName>
    <definedName name="yyyy" localSheetId="21">#REF!</definedName>
    <definedName name="yyyy" localSheetId="23">#REF!</definedName>
    <definedName name="yyyy" localSheetId="3">#REF!</definedName>
    <definedName name="yyyy" localSheetId="5">#REF!</definedName>
    <definedName name="yyyy" localSheetId="6">#REF!</definedName>
    <definedName name="yyyy" localSheetId="8">#REF!</definedName>
    <definedName name="yyyy" localSheetId="0">#REF!</definedName>
    <definedName name="yyyy">#REF!</definedName>
    <definedName name="yyyyy" localSheetId="4">#REF!</definedName>
    <definedName name="yyyyy" localSheetId="9">#REF!</definedName>
    <definedName name="yyyyy" localSheetId="1">#REF!</definedName>
    <definedName name="yyyyy" localSheetId="14">#REF!</definedName>
    <definedName name="yyyyy" localSheetId="15">#REF!</definedName>
    <definedName name="yyyyy" localSheetId="16">#REF!</definedName>
    <definedName name="yyyyy" localSheetId="17">#REF!</definedName>
    <definedName name="yyyyy" localSheetId="18">#REF!</definedName>
    <definedName name="yyyyy" localSheetId="19">#REF!</definedName>
    <definedName name="yyyyy" localSheetId="2">#REF!</definedName>
    <definedName name="yyyyy" localSheetId="20">#REF!</definedName>
    <definedName name="yyyyy" localSheetId="21">#REF!</definedName>
    <definedName name="yyyyy" localSheetId="23">#REF!</definedName>
    <definedName name="yyyyy" localSheetId="3">#REF!</definedName>
    <definedName name="yyyyy" localSheetId="5">#REF!</definedName>
    <definedName name="yyyyy" localSheetId="6">#REF!</definedName>
    <definedName name="yyyyy" localSheetId="8">#REF!</definedName>
    <definedName name="yyyyy" localSheetId="0">#REF!</definedName>
    <definedName name="yyyyy">#REF!</definedName>
    <definedName name="yyyyyyyy" localSheetId="4">#REF!</definedName>
    <definedName name="yyyyyyyy" localSheetId="9">#REF!</definedName>
    <definedName name="yyyyyyyy" localSheetId="1">#REF!</definedName>
    <definedName name="yyyyyyyy" localSheetId="14">#REF!</definedName>
    <definedName name="yyyyyyyy" localSheetId="15">#REF!</definedName>
    <definedName name="yyyyyyyy" localSheetId="16">#REF!</definedName>
    <definedName name="yyyyyyyy" localSheetId="17">#REF!</definedName>
    <definedName name="yyyyyyyy" localSheetId="18">#REF!</definedName>
    <definedName name="yyyyyyyy" localSheetId="19">#REF!</definedName>
    <definedName name="yyyyyyyy" localSheetId="2">#REF!</definedName>
    <definedName name="yyyyyyyy" localSheetId="20">#REF!</definedName>
    <definedName name="yyyyyyyy" localSheetId="21">#REF!</definedName>
    <definedName name="yyyyyyyy" localSheetId="23">#REF!</definedName>
    <definedName name="yyyyyyyy" localSheetId="3">#REF!</definedName>
    <definedName name="yyyyyyyy" localSheetId="5">#REF!</definedName>
    <definedName name="yyyyyyyy" localSheetId="6">#REF!</definedName>
    <definedName name="yyyyyyyy" localSheetId="8">#REF!</definedName>
    <definedName name="yyyyyyyy" localSheetId="0">#REF!</definedName>
    <definedName name="yyyyyyyy">#REF!</definedName>
    <definedName name="yyyyyyyyyyy" localSheetId="4">#REF!</definedName>
    <definedName name="yyyyyyyyyyy" localSheetId="9">#REF!</definedName>
    <definedName name="yyyyyyyyyyy" localSheetId="1">#REF!</definedName>
    <definedName name="yyyyyyyyyyy" localSheetId="14">#REF!</definedName>
    <definedName name="yyyyyyyyyyy" localSheetId="15">#REF!</definedName>
    <definedName name="yyyyyyyyyyy" localSheetId="16">#REF!</definedName>
    <definedName name="yyyyyyyyyyy" localSheetId="17">#REF!</definedName>
    <definedName name="yyyyyyyyyyy" localSheetId="18">#REF!</definedName>
    <definedName name="yyyyyyyyyyy" localSheetId="19">#REF!</definedName>
    <definedName name="yyyyyyyyyyy" localSheetId="2">#REF!</definedName>
    <definedName name="yyyyyyyyyyy" localSheetId="20">#REF!</definedName>
    <definedName name="yyyyyyyyyyy" localSheetId="21">#REF!</definedName>
    <definedName name="yyyyyyyyyyy" localSheetId="23">#REF!</definedName>
    <definedName name="yyyyyyyyyyy" localSheetId="3">#REF!</definedName>
    <definedName name="yyyyyyyyyyy" localSheetId="5">#REF!</definedName>
    <definedName name="yyyyyyyyyyy" localSheetId="6">#REF!</definedName>
    <definedName name="yyyyyyyyyyy" localSheetId="8">#REF!</definedName>
    <definedName name="yyyyyyyyyyy" localSheetId="0">#REF!</definedName>
    <definedName name="yyyyyyyyyyy">#REF!</definedName>
    <definedName name="yyyyyyyyyyyyyy" localSheetId="4">#REF!</definedName>
    <definedName name="yyyyyyyyyyyyyy" localSheetId="9">#REF!</definedName>
    <definedName name="yyyyyyyyyyyyyy" localSheetId="1">#REF!</definedName>
    <definedName name="yyyyyyyyyyyyyy" localSheetId="14">#REF!</definedName>
    <definedName name="yyyyyyyyyyyyyy" localSheetId="15">#REF!</definedName>
    <definedName name="yyyyyyyyyyyyyy" localSheetId="16">#REF!</definedName>
    <definedName name="yyyyyyyyyyyyyy" localSheetId="17">#REF!</definedName>
    <definedName name="yyyyyyyyyyyyyy" localSheetId="18">#REF!</definedName>
    <definedName name="yyyyyyyyyyyyyy" localSheetId="19">#REF!</definedName>
    <definedName name="yyyyyyyyyyyyyy" localSheetId="2">#REF!</definedName>
    <definedName name="yyyyyyyyyyyyyy" localSheetId="20">#REF!</definedName>
    <definedName name="yyyyyyyyyyyyyy" localSheetId="21">#REF!</definedName>
    <definedName name="yyyyyyyyyyyyyy" localSheetId="23">#REF!</definedName>
    <definedName name="yyyyyyyyyyyyyy" localSheetId="3">#REF!</definedName>
    <definedName name="yyyyyyyyyyyyyy" localSheetId="5">#REF!</definedName>
    <definedName name="yyyyyyyyyyyyyy" localSheetId="6">#REF!</definedName>
    <definedName name="yyyyyyyyyyyyyy" localSheetId="8">#REF!</definedName>
    <definedName name="yyyyyyyyyyyyyy" localSheetId="0">#REF!</definedName>
    <definedName name="yyyyyyyyyyyyyy">#REF!</definedName>
    <definedName name="yyyyyyyyyyyyyyyyyyyyy" localSheetId="4">#REF!</definedName>
    <definedName name="yyyyyyyyyyyyyyyyyyyyy" localSheetId="9">#REF!</definedName>
    <definedName name="yyyyyyyyyyyyyyyyyyyyy" localSheetId="1">#REF!</definedName>
    <definedName name="yyyyyyyyyyyyyyyyyyyyy" localSheetId="14">#REF!</definedName>
    <definedName name="yyyyyyyyyyyyyyyyyyyyy" localSheetId="15">#REF!</definedName>
    <definedName name="yyyyyyyyyyyyyyyyyyyyy" localSheetId="16">#REF!</definedName>
    <definedName name="yyyyyyyyyyyyyyyyyyyyy" localSheetId="17">#REF!</definedName>
    <definedName name="yyyyyyyyyyyyyyyyyyyyy" localSheetId="18">#REF!</definedName>
    <definedName name="yyyyyyyyyyyyyyyyyyyyy" localSheetId="19">#REF!</definedName>
    <definedName name="yyyyyyyyyyyyyyyyyyyyy" localSheetId="2">#REF!</definedName>
    <definedName name="yyyyyyyyyyyyyyyyyyyyy" localSheetId="20">#REF!</definedName>
    <definedName name="yyyyyyyyyyyyyyyyyyyyy" localSheetId="21">#REF!</definedName>
    <definedName name="yyyyyyyyyyyyyyyyyyyyy" localSheetId="23">#REF!</definedName>
    <definedName name="yyyyyyyyyyyyyyyyyyyyy" localSheetId="3">#REF!</definedName>
    <definedName name="yyyyyyyyyyyyyyyyyyyyy" localSheetId="5">#REF!</definedName>
    <definedName name="yyyyyyyyyyyyyyyyyyyyy" localSheetId="6">#REF!</definedName>
    <definedName name="yyyyyyyyyyyyyyyyyyyyy" localSheetId="8">#REF!</definedName>
    <definedName name="yyyyyyyyyyyyyyyyyyyyy" localSheetId="0">#REF!</definedName>
    <definedName name="yyyyyyyyyyyyyyyyyyyyy">#REF!</definedName>
    <definedName name="zjyr" localSheetId="4">#REF!</definedName>
    <definedName name="zjyr" localSheetId="9">#REF!</definedName>
    <definedName name="zjyr" localSheetId="1">#REF!</definedName>
    <definedName name="zjyr" localSheetId="14">#REF!</definedName>
    <definedName name="zjyr" localSheetId="15">#REF!</definedName>
    <definedName name="zjyr" localSheetId="16">#REF!</definedName>
    <definedName name="zjyr" localSheetId="17">#REF!</definedName>
    <definedName name="zjyr" localSheetId="18">#REF!</definedName>
    <definedName name="zjyr" localSheetId="19">#REF!</definedName>
    <definedName name="zjyr" localSheetId="2">#REF!</definedName>
    <definedName name="zjyr" localSheetId="20">#REF!</definedName>
    <definedName name="zjyr" localSheetId="21">#REF!</definedName>
    <definedName name="zjyr" localSheetId="23">#REF!</definedName>
    <definedName name="zjyr" localSheetId="3">#REF!</definedName>
    <definedName name="zjyr" localSheetId="5">#REF!</definedName>
    <definedName name="zjyr" localSheetId="6">#REF!</definedName>
    <definedName name="zjyr" localSheetId="8">#REF!</definedName>
    <definedName name="zjyr" localSheetId="0">#REF!</definedName>
    <definedName name="zjyr">#REF!</definedName>
    <definedName name="zz" localSheetId="4">#REF!</definedName>
    <definedName name="zz" localSheetId="9">#REF!</definedName>
    <definedName name="zz" localSheetId="1">#REF!</definedName>
    <definedName name="zz" localSheetId="14">#REF!</definedName>
    <definedName name="zz" localSheetId="15">#REF!</definedName>
    <definedName name="zz" localSheetId="16">#REF!</definedName>
    <definedName name="zz" localSheetId="17">#REF!</definedName>
    <definedName name="zz" localSheetId="18">#REF!</definedName>
    <definedName name="zz" localSheetId="19">#REF!</definedName>
    <definedName name="zz" localSheetId="2">#REF!</definedName>
    <definedName name="zz" localSheetId="20">#REF!</definedName>
    <definedName name="zz" localSheetId="21">#REF!</definedName>
    <definedName name="zz" localSheetId="23">#REF!</definedName>
    <definedName name="zz" localSheetId="3">#REF!</definedName>
    <definedName name="zz" localSheetId="5">#REF!</definedName>
    <definedName name="zz" localSheetId="6">#REF!</definedName>
    <definedName name="zz" localSheetId="8">#REF!</definedName>
    <definedName name="zz" localSheetId="0">#REF!</definedName>
    <definedName name="zz">#REF!</definedName>
    <definedName name="zzz" localSheetId="4">#REF!</definedName>
    <definedName name="zzz" localSheetId="9">#REF!</definedName>
    <definedName name="zzz" localSheetId="1">#REF!</definedName>
    <definedName name="zzz" localSheetId="14">#REF!</definedName>
    <definedName name="zzz" localSheetId="15">#REF!</definedName>
    <definedName name="zzz" localSheetId="16">#REF!</definedName>
    <definedName name="zzz" localSheetId="17">#REF!</definedName>
    <definedName name="zzz" localSheetId="18">#REF!</definedName>
    <definedName name="zzz" localSheetId="19">#REF!</definedName>
    <definedName name="zzz" localSheetId="2">#REF!</definedName>
    <definedName name="zzz" localSheetId="20">#REF!</definedName>
    <definedName name="zzz" localSheetId="21">#REF!</definedName>
    <definedName name="zzz" localSheetId="23">#REF!</definedName>
    <definedName name="zzz" localSheetId="3">#REF!</definedName>
    <definedName name="zzz" localSheetId="5">#REF!</definedName>
    <definedName name="zzz" localSheetId="6">#REF!</definedName>
    <definedName name="zzz" localSheetId="8">#REF!</definedName>
    <definedName name="zzz" localSheetId="0">#REF!</definedName>
    <definedName name="zz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mx="http://schemas.microsoft.com/office/mac/excel/2008/main" uri="{7523E5D3-25F3-A5E0-1632-64F254C22452}">
      <mx:ArchID Flags="2"/>
    </ext>
  </extLst>
</workbook>
</file>

<file path=xl/calcChain.xml><?xml version="1.0" encoding="utf-8"?>
<calcChain xmlns="http://schemas.openxmlformats.org/spreadsheetml/2006/main">
  <c r="E34" i="311" l="1"/>
  <c r="D34" i="311"/>
  <c r="C34" i="311"/>
  <c r="E29" i="311"/>
  <c r="D29" i="311"/>
  <c r="C29" i="311"/>
  <c r="E22" i="311"/>
  <c r="D22" i="311"/>
  <c r="C22" i="311"/>
  <c r="N33" i="309"/>
  <c r="M33" i="309"/>
  <c r="L33" i="309"/>
  <c r="J33" i="309"/>
  <c r="I33" i="309"/>
  <c r="N32" i="309"/>
  <c r="M32" i="309"/>
  <c r="L32" i="309"/>
  <c r="J32" i="309"/>
  <c r="I32" i="309"/>
  <c r="N25" i="309"/>
  <c r="M25" i="309"/>
  <c r="L25" i="309"/>
  <c r="J25" i="309"/>
  <c r="I25" i="309"/>
  <c r="N24" i="309"/>
  <c r="M24" i="309"/>
  <c r="L24" i="309"/>
  <c r="J24" i="309"/>
  <c r="I24" i="309"/>
  <c r="N17" i="309"/>
  <c r="M17" i="309"/>
  <c r="L17" i="309"/>
  <c r="J17" i="309"/>
  <c r="I17" i="309"/>
  <c r="N16" i="309"/>
  <c r="M16" i="309"/>
  <c r="L16" i="309"/>
  <c r="J16" i="309"/>
  <c r="I16" i="309"/>
  <c r="L38" i="308"/>
  <c r="H38" i="308"/>
  <c r="B38" i="308"/>
  <c r="D38" i="308" s="1"/>
  <c r="L37" i="308"/>
  <c r="K37" i="308"/>
  <c r="H37" i="308"/>
  <c r="G37" i="308"/>
  <c r="D37" i="308"/>
  <c r="C37" i="308"/>
  <c r="L36" i="308"/>
  <c r="K36" i="308"/>
  <c r="H36" i="308"/>
  <c r="G36" i="308"/>
  <c r="D36" i="308"/>
  <c r="C36" i="308"/>
  <c r="L34" i="308"/>
  <c r="K34" i="308"/>
  <c r="F34" i="308"/>
  <c r="H34" i="308" s="1"/>
  <c r="D34" i="308"/>
  <c r="L33" i="308"/>
  <c r="K33" i="308"/>
  <c r="H33" i="308"/>
  <c r="G33" i="308"/>
  <c r="D33" i="308"/>
  <c r="C33" i="308"/>
  <c r="L32" i="308"/>
  <c r="K32" i="308"/>
  <c r="H32" i="308"/>
  <c r="G32" i="308"/>
  <c r="D32" i="308"/>
  <c r="C32" i="308"/>
  <c r="J28" i="308"/>
  <c r="L28" i="308" s="1"/>
  <c r="F28" i="308"/>
  <c r="H28" i="308" s="1"/>
  <c r="B28" i="308"/>
  <c r="D28" i="308" s="1"/>
  <c r="L27" i="308"/>
  <c r="K27" i="308"/>
  <c r="H27" i="308"/>
  <c r="G27" i="308"/>
  <c r="D27" i="308"/>
  <c r="C27" i="308"/>
  <c r="L26" i="308"/>
  <c r="K26" i="308"/>
  <c r="H26" i="308"/>
  <c r="G26" i="308"/>
  <c r="D26" i="308"/>
  <c r="C26" i="308"/>
  <c r="L25" i="308"/>
  <c r="K25" i="308"/>
  <c r="H25" i="308"/>
  <c r="G25" i="308"/>
  <c r="D25" i="308"/>
  <c r="C25" i="308"/>
  <c r="L24" i="308"/>
  <c r="K24" i="308"/>
  <c r="H24" i="308"/>
  <c r="G24" i="308"/>
  <c r="D24" i="308"/>
  <c r="C24" i="308"/>
  <c r="J20" i="308"/>
  <c r="L20" i="308" s="1"/>
  <c r="F20" i="308"/>
  <c r="H20" i="308" s="1"/>
  <c r="B20" i="308"/>
  <c r="D20" i="308" s="1"/>
  <c r="L19" i="308"/>
  <c r="K19" i="308"/>
  <c r="H19" i="308"/>
  <c r="G19" i="308"/>
  <c r="D19" i="308"/>
  <c r="C19" i="308"/>
  <c r="L17" i="308"/>
  <c r="K17" i="308"/>
  <c r="H17" i="308"/>
  <c r="G17" i="308"/>
  <c r="D17" i="308"/>
  <c r="C17" i="308"/>
  <c r="L16" i="308"/>
  <c r="K16" i="308"/>
  <c r="H16" i="308"/>
  <c r="G16" i="308"/>
  <c r="D16" i="308"/>
  <c r="C16" i="308"/>
  <c r="L15" i="308"/>
  <c r="K15" i="308"/>
  <c r="H15" i="308"/>
  <c r="G15" i="308"/>
  <c r="D15" i="308"/>
  <c r="C15" i="308"/>
  <c r="L14" i="308"/>
  <c r="K14" i="308"/>
  <c r="H14" i="308"/>
  <c r="G14" i="308"/>
  <c r="D14" i="308"/>
  <c r="C14" i="308"/>
  <c r="I58" i="307"/>
  <c r="H58" i="307"/>
  <c r="G58" i="307"/>
  <c r="D58" i="307"/>
  <c r="C58" i="307"/>
  <c r="B58" i="307"/>
  <c r="I57" i="307"/>
  <c r="H57" i="307"/>
  <c r="G57" i="307"/>
  <c r="D57" i="307"/>
  <c r="C57" i="307"/>
  <c r="B57" i="307"/>
  <c r="I50" i="307"/>
  <c r="H50" i="307"/>
  <c r="G50" i="307"/>
  <c r="D50" i="307"/>
  <c r="C50" i="307"/>
  <c r="B50" i="307"/>
  <c r="I49" i="307"/>
  <c r="H49" i="307"/>
  <c r="G49" i="307"/>
  <c r="D49" i="307"/>
  <c r="C49" i="307"/>
  <c r="B49" i="307"/>
  <c r="I45" i="307"/>
  <c r="H45" i="307"/>
  <c r="G45" i="307"/>
  <c r="I42" i="307"/>
  <c r="H42" i="307"/>
  <c r="G42" i="307"/>
  <c r="D42" i="307"/>
  <c r="C42" i="307"/>
  <c r="B42" i="307"/>
  <c r="I41" i="307"/>
  <c r="H41" i="307"/>
  <c r="G41" i="307"/>
  <c r="D41" i="307"/>
  <c r="C41" i="307"/>
  <c r="B41" i="307"/>
  <c r="J35" i="307"/>
  <c r="E35" i="307"/>
  <c r="J34" i="307"/>
  <c r="E34" i="307"/>
  <c r="J33" i="307"/>
  <c r="E33" i="307"/>
  <c r="J27" i="307"/>
  <c r="E27" i="307"/>
  <c r="J26" i="307"/>
  <c r="E26" i="307"/>
  <c r="J25" i="307"/>
  <c r="E25" i="307"/>
  <c r="E19" i="307"/>
  <c r="J18" i="307"/>
  <c r="E18" i="307"/>
  <c r="J17" i="307"/>
  <c r="E17" i="307"/>
  <c r="L21" i="304"/>
  <c r="H21" i="304"/>
  <c r="D21" i="304"/>
  <c r="J21" i="304"/>
  <c r="F21" i="304"/>
  <c r="B21" i="304"/>
  <c r="D43" i="307" l="1"/>
  <c r="C43" i="307"/>
  <c r="B43" i="307"/>
  <c r="I43" i="307"/>
  <c r="H43" i="307"/>
  <c r="G43" i="307"/>
  <c r="D44" i="307"/>
  <c r="C44" i="307"/>
  <c r="B44" i="307"/>
  <c r="I44" i="307"/>
  <c r="H44" i="307"/>
  <c r="G44" i="307"/>
  <c r="F45" i="307"/>
  <c r="D45" i="307"/>
  <c r="C45" i="307"/>
  <c r="B45" i="307"/>
  <c r="D51" i="307"/>
  <c r="C51" i="307"/>
  <c r="B51" i="307"/>
  <c r="I51" i="307"/>
  <c r="H51" i="307"/>
  <c r="G51" i="307"/>
  <c r="D52" i="307"/>
  <c r="C52" i="307"/>
  <c r="B52" i="307"/>
  <c r="I52" i="307"/>
  <c r="H52" i="307"/>
  <c r="G52" i="307"/>
  <c r="D53" i="307"/>
  <c r="C53" i="307"/>
  <c r="B53" i="307"/>
  <c r="I53" i="307"/>
  <c r="H53" i="307"/>
  <c r="G53" i="307"/>
  <c r="D59" i="307"/>
  <c r="C59" i="307"/>
  <c r="B59" i="307"/>
  <c r="I59" i="307"/>
  <c r="H59" i="307"/>
  <c r="G59" i="307"/>
  <c r="D60" i="307"/>
  <c r="C60" i="307"/>
  <c r="B60" i="307"/>
  <c r="I60" i="307"/>
  <c r="H60" i="307"/>
  <c r="G60" i="307"/>
  <c r="D61" i="307"/>
  <c r="C61" i="307"/>
  <c r="B61" i="307"/>
  <c r="I61" i="307"/>
  <c r="H61" i="307"/>
  <c r="G61" i="307"/>
  <c r="C17" i="304"/>
  <c r="C18" i="304"/>
  <c r="C19" i="304"/>
  <c r="C20" i="304"/>
  <c r="C21" i="304"/>
  <c r="C16" i="304"/>
  <c r="G17" i="304"/>
  <c r="G18" i="304"/>
  <c r="G19" i="304"/>
  <c r="G20" i="304"/>
  <c r="G21" i="304"/>
  <c r="G16" i="304"/>
  <c r="K17" i="304"/>
  <c r="K18" i="304"/>
  <c r="K19" i="304"/>
  <c r="K20" i="304"/>
  <c r="K21" i="304"/>
  <c r="K16" i="304"/>
  <c r="L79" i="305" l="1"/>
  <c r="K79" i="305"/>
  <c r="H79" i="305"/>
  <c r="G79" i="305"/>
  <c r="D79" i="305"/>
  <c r="C79" i="305"/>
  <c r="L78" i="305"/>
  <c r="K78" i="305"/>
  <c r="H78" i="305"/>
  <c r="G78" i="305"/>
  <c r="D78" i="305"/>
  <c r="C78" i="305"/>
  <c r="L77" i="305"/>
  <c r="H77" i="305"/>
  <c r="D77" i="305"/>
  <c r="J75" i="305"/>
  <c r="L75" i="305" s="1"/>
  <c r="F75" i="305"/>
  <c r="H75" i="305" s="1"/>
  <c r="B75" i="305"/>
  <c r="D75" i="305" s="1"/>
  <c r="L74" i="305"/>
  <c r="H74" i="305"/>
  <c r="D74" i="305"/>
  <c r="L73" i="305"/>
  <c r="H73" i="305"/>
  <c r="D73" i="305"/>
  <c r="L72" i="305"/>
  <c r="H72" i="305"/>
  <c r="D72" i="305"/>
  <c r="L71" i="305"/>
  <c r="H71" i="305"/>
  <c r="D71" i="305"/>
  <c r="L70" i="305"/>
  <c r="H70" i="305"/>
  <c r="D70" i="305"/>
  <c r="L69" i="305"/>
  <c r="H69" i="305"/>
  <c r="D69" i="305"/>
  <c r="L68" i="305"/>
  <c r="H68" i="305"/>
  <c r="D68" i="305"/>
  <c r="L64" i="305"/>
  <c r="H64" i="305"/>
  <c r="D64" i="305"/>
  <c r="L62" i="305"/>
  <c r="H62" i="305"/>
  <c r="D62" i="305"/>
  <c r="L61" i="305"/>
  <c r="H61" i="305"/>
  <c r="D61" i="305"/>
  <c r="L57" i="305"/>
  <c r="H57" i="305"/>
  <c r="D57" i="305"/>
  <c r="L56" i="305"/>
  <c r="H56" i="305"/>
  <c r="D56" i="305"/>
  <c r="L55" i="305"/>
  <c r="H55" i="305"/>
  <c r="D55" i="305"/>
  <c r="L51" i="305"/>
  <c r="H51" i="305"/>
  <c r="D51" i="305"/>
  <c r="L50" i="305"/>
  <c r="H50" i="305"/>
  <c r="D50" i="305"/>
  <c r="L49" i="305"/>
  <c r="H49" i="305"/>
  <c r="D49" i="305"/>
  <c r="L48" i="305"/>
  <c r="H48" i="305"/>
  <c r="D48" i="305"/>
  <c r="L45" i="305"/>
  <c r="H45" i="305"/>
  <c r="D45" i="305"/>
  <c r="L44" i="305"/>
  <c r="H44" i="305"/>
  <c r="D44" i="305"/>
  <c r="L43" i="305"/>
  <c r="H43" i="305"/>
  <c r="D43" i="305"/>
  <c r="L42" i="305"/>
  <c r="H42" i="305"/>
  <c r="D42" i="305"/>
  <c r="L38" i="305"/>
  <c r="H38" i="305"/>
  <c r="D38" i="305"/>
  <c r="L37" i="305"/>
  <c r="H37" i="305"/>
  <c r="D37" i="305"/>
  <c r="L36" i="305"/>
  <c r="H36" i="305"/>
  <c r="D36" i="305"/>
  <c r="L35" i="305"/>
  <c r="H35" i="305"/>
  <c r="D35" i="305"/>
  <c r="L31" i="305"/>
  <c r="H31" i="305"/>
  <c r="D31" i="305"/>
  <c r="L30" i="305"/>
  <c r="H30" i="305"/>
  <c r="D30" i="305"/>
  <c r="L29" i="305"/>
  <c r="H29" i="305"/>
  <c r="D29" i="305"/>
  <c r="L28" i="305"/>
  <c r="H28" i="305"/>
  <c r="D28" i="305"/>
  <c r="L27" i="305"/>
  <c r="H27" i="305"/>
  <c r="D27" i="305"/>
  <c r="L23" i="305"/>
  <c r="H23" i="305"/>
  <c r="D23" i="305"/>
  <c r="L22" i="305"/>
  <c r="H22" i="305"/>
  <c r="D22" i="305"/>
  <c r="L21" i="305"/>
  <c r="H21" i="305"/>
  <c r="D21" i="305"/>
  <c r="J17" i="305"/>
  <c r="L17" i="305" s="1"/>
  <c r="F17" i="305"/>
  <c r="H17" i="305" s="1"/>
  <c r="B17" i="305"/>
  <c r="D17" i="305" s="1"/>
  <c r="L16" i="305"/>
  <c r="H16" i="305"/>
  <c r="G16" i="305"/>
  <c r="D16" i="305"/>
  <c r="L15" i="305"/>
  <c r="K15" i="305"/>
  <c r="H15" i="305"/>
  <c r="D15" i="305"/>
  <c r="J44" i="304"/>
  <c r="F44" i="304"/>
  <c r="G43" i="304" s="1"/>
  <c r="B44" i="304"/>
  <c r="L43" i="304"/>
  <c r="K43" i="304"/>
  <c r="H43" i="304"/>
  <c r="D43" i="304"/>
  <c r="C43" i="304"/>
  <c r="K42" i="304"/>
  <c r="C42" i="304"/>
  <c r="L40" i="304"/>
  <c r="H40" i="304"/>
  <c r="D40" i="304"/>
  <c r="L39" i="304"/>
  <c r="K39" i="304"/>
  <c r="H39" i="304"/>
  <c r="G39" i="304"/>
  <c r="D39" i="304"/>
  <c r="C39" i="304"/>
  <c r="L38" i="304"/>
  <c r="K38" i="304"/>
  <c r="H38" i="304"/>
  <c r="G38" i="304"/>
  <c r="D38" i="304"/>
  <c r="C38" i="304"/>
  <c r="L35" i="304"/>
  <c r="L34" i="304"/>
  <c r="H34" i="304"/>
  <c r="D34" i="304"/>
  <c r="L33" i="304"/>
  <c r="K33" i="304"/>
  <c r="H33" i="304"/>
  <c r="G33" i="304"/>
  <c r="D33" i="304"/>
  <c r="C33" i="304"/>
  <c r="L32" i="304"/>
  <c r="K32" i="304"/>
  <c r="H32" i="304"/>
  <c r="G32" i="304"/>
  <c r="D32" i="304"/>
  <c r="C32" i="304"/>
  <c r="L31" i="304"/>
  <c r="K31" i="304"/>
  <c r="H31" i="304"/>
  <c r="G31" i="304"/>
  <c r="D31" i="304"/>
  <c r="C31" i="304"/>
  <c r="L27" i="304"/>
  <c r="H27" i="304"/>
  <c r="D27" i="304"/>
  <c r="L26" i="304"/>
  <c r="K26" i="304"/>
  <c r="H26" i="304"/>
  <c r="G26" i="304"/>
  <c r="D26" i="304"/>
  <c r="C26" i="304"/>
  <c r="L25" i="304"/>
  <c r="K25" i="304"/>
  <c r="H25" i="304"/>
  <c r="G25" i="304"/>
  <c r="D25" i="304"/>
  <c r="C25" i="304"/>
  <c r="L20" i="304"/>
  <c r="H20" i="304"/>
  <c r="D20" i="304"/>
  <c r="L19" i="304"/>
  <c r="H19" i="304"/>
  <c r="D19" i="304"/>
  <c r="L18" i="304"/>
  <c r="H18" i="304"/>
  <c r="D18" i="304"/>
  <c r="L17" i="304"/>
  <c r="H17" i="304"/>
  <c r="D17" i="304"/>
  <c r="L16" i="304"/>
  <c r="H16" i="304"/>
  <c r="D16" i="304"/>
  <c r="N47" i="303"/>
  <c r="M47" i="303"/>
  <c r="L47" i="303"/>
  <c r="K47" i="303"/>
  <c r="J47" i="303"/>
  <c r="I47" i="303"/>
  <c r="H47" i="303"/>
  <c r="G47" i="303"/>
  <c r="F47" i="303"/>
  <c r="E47" i="303"/>
  <c r="C47" i="303"/>
  <c r="B47" i="303"/>
  <c r="N46" i="303"/>
  <c r="M46" i="303"/>
  <c r="L46" i="303"/>
  <c r="K46" i="303"/>
  <c r="J46" i="303"/>
  <c r="I46" i="303"/>
  <c r="H46" i="303"/>
  <c r="G46" i="303"/>
  <c r="F46" i="303"/>
  <c r="E46" i="303"/>
  <c r="C46" i="303"/>
  <c r="B46" i="303"/>
  <c r="N45" i="303"/>
  <c r="M45" i="303"/>
  <c r="L45" i="303"/>
  <c r="K45" i="303"/>
  <c r="J45" i="303"/>
  <c r="I45" i="303"/>
  <c r="H45" i="303"/>
  <c r="G45" i="303"/>
  <c r="F45" i="303"/>
  <c r="E45" i="303"/>
  <c r="C45" i="303"/>
  <c r="B45" i="303"/>
  <c r="N44" i="303"/>
  <c r="M44" i="303"/>
  <c r="L44" i="303"/>
  <c r="K44" i="303"/>
  <c r="J44" i="303"/>
  <c r="I44" i="303"/>
  <c r="H44" i="303"/>
  <c r="G44" i="303"/>
  <c r="F44" i="303"/>
  <c r="E44" i="303"/>
  <c r="C44" i="303"/>
  <c r="B44" i="303"/>
  <c r="N43" i="303"/>
  <c r="M43" i="303"/>
  <c r="L43" i="303"/>
  <c r="K43" i="303"/>
  <c r="J43" i="303"/>
  <c r="I43" i="303"/>
  <c r="H43" i="303"/>
  <c r="G43" i="303"/>
  <c r="F43" i="303"/>
  <c r="E43" i="303"/>
  <c r="C43" i="303"/>
  <c r="B43" i="303"/>
  <c r="B48" i="303" s="1"/>
  <c r="C16" i="305" l="1"/>
  <c r="C15" i="305"/>
  <c r="K16" i="305"/>
  <c r="G15" i="305"/>
  <c r="C52" i="303"/>
  <c r="E48" i="303"/>
  <c r="E52" i="303"/>
  <c r="F52" i="303"/>
  <c r="G48" i="303"/>
  <c r="G52" i="303"/>
  <c r="H52" i="303"/>
  <c r="I48" i="303"/>
  <c r="I52" i="303"/>
  <c r="J52" i="303"/>
  <c r="K48" i="303"/>
  <c r="K52" i="303"/>
  <c r="L52" i="303"/>
  <c r="M48" i="303"/>
  <c r="M52" i="303"/>
  <c r="N52" i="303"/>
  <c r="C53" i="303"/>
  <c r="E53" i="303"/>
  <c r="F53" i="303"/>
  <c r="G53" i="303"/>
  <c r="H53" i="303"/>
  <c r="I53" i="303"/>
  <c r="J53" i="303"/>
  <c r="K53" i="303"/>
  <c r="L53" i="303"/>
  <c r="M53" i="303"/>
  <c r="N53" i="303"/>
  <c r="C54" i="303"/>
  <c r="E54" i="303"/>
  <c r="F54" i="303"/>
  <c r="G54" i="303"/>
  <c r="H54" i="303"/>
  <c r="I54" i="303"/>
  <c r="J54" i="303"/>
  <c r="K54" i="303"/>
  <c r="L54" i="303"/>
  <c r="M54" i="303"/>
  <c r="N54" i="303"/>
  <c r="C55" i="303"/>
  <c r="E55" i="303"/>
  <c r="F55" i="303"/>
  <c r="G55" i="303"/>
  <c r="H55" i="303"/>
  <c r="I55" i="303"/>
  <c r="J55" i="303"/>
  <c r="K55" i="303"/>
  <c r="L55" i="303"/>
  <c r="M55" i="303"/>
  <c r="N55" i="303"/>
  <c r="C56" i="303"/>
  <c r="E56" i="303"/>
  <c r="F56" i="303"/>
  <c r="G56" i="303"/>
  <c r="H56" i="303"/>
  <c r="I56" i="303"/>
  <c r="J56" i="303"/>
  <c r="K56" i="303"/>
  <c r="L56" i="303"/>
  <c r="M56" i="303"/>
  <c r="N56" i="303"/>
  <c r="G42" i="304"/>
  <c r="E57" i="303"/>
  <c r="G57" i="303"/>
  <c r="I57" i="303"/>
  <c r="K57" i="303"/>
  <c r="M57" i="303"/>
  <c r="C48" i="303"/>
  <c r="C57" i="303" s="1"/>
  <c r="F48" i="303"/>
  <c r="F57" i="303" s="1"/>
  <c r="H48" i="303"/>
  <c r="H57" i="303" s="1"/>
  <c r="J48" i="303"/>
  <c r="J57" i="303" s="1"/>
  <c r="L48" i="303"/>
  <c r="L57" i="303" s="1"/>
  <c r="N48" i="303"/>
  <c r="N57" i="303" s="1"/>
  <c r="F39" i="302"/>
  <c r="C39" i="302"/>
  <c r="L37" i="302"/>
  <c r="J37" i="302"/>
  <c r="G37" i="302"/>
  <c r="D37" i="302"/>
  <c r="L35" i="302"/>
  <c r="J35" i="302"/>
  <c r="G35" i="302"/>
  <c r="D35" i="302"/>
  <c r="L34" i="302"/>
  <c r="J34" i="302"/>
  <c r="G34" i="302"/>
  <c r="D34" i="302"/>
  <c r="L33" i="302"/>
  <c r="J33" i="302"/>
  <c r="G33" i="302"/>
  <c r="D33" i="302"/>
  <c r="L31" i="302"/>
  <c r="J31" i="302"/>
  <c r="G31" i="302"/>
  <c r="D31" i="302"/>
  <c r="L29" i="302"/>
  <c r="J29" i="302"/>
  <c r="G29" i="302"/>
  <c r="D29" i="302"/>
  <c r="L28" i="302"/>
  <c r="J28" i="302"/>
  <c r="G28" i="302"/>
  <c r="D28" i="302"/>
  <c r="L27" i="302"/>
  <c r="J27" i="302"/>
  <c r="G27" i="302"/>
  <c r="D27" i="302"/>
  <c r="L26" i="302"/>
  <c r="J26" i="302"/>
  <c r="G26" i="302"/>
  <c r="D26" i="302"/>
  <c r="L25" i="302"/>
  <c r="J25" i="302"/>
  <c r="G25" i="302"/>
  <c r="D25" i="302"/>
  <c r="L24" i="302"/>
  <c r="J24" i="302"/>
  <c r="G24" i="302"/>
  <c r="D24" i="302"/>
  <c r="L23" i="302"/>
  <c r="J23" i="302"/>
  <c r="G23" i="302"/>
  <c r="D23" i="302"/>
  <c r="L21" i="302"/>
  <c r="J21" i="302"/>
  <c r="G21" i="302"/>
  <c r="D21" i="302"/>
  <c r="L19" i="302"/>
  <c r="J19" i="302"/>
  <c r="G19" i="302"/>
  <c r="D19" i="302"/>
  <c r="L18" i="302"/>
  <c r="J18" i="302"/>
  <c r="G18" i="302"/>
  <c r="D18" i="302"/>
  <c r="L17" i="302"/>
  <c r="J17" i="302"/>
  <c r="G17" i="302"/>
  <c r="D17" i="302"/>
  <c r="L16" i="302"/>
  <c r="J16" i="302"/>
  <c r="G16" i="302"/>
  <c r="D16" i="302"/>
  <c r="L15" i="302"/>
  <c r="J15" i="302"/>
  <c r="G15" i="302"/>
  <c r="D15" i="302"/>
  <c r="L13" i="302"/>
  <c r="J13" i="302"/>
  <c r="G13" i="302"/>
  <c r="D13" i="302"/>
  <c r="L11" i="302"/>
  <c r="J11" i="302"/>
  <c r="G11" i="302"/>
  <c r="D11" i="302"/>
  <c r="I47" i="298"/>
  <c r="H47" i="298"/>
  <c r="G47" i="298"/>
  <c r="D47" i="298"/>
  <c r="C47" i="298"/>
  <c r="B47" i="298"/>
  <c r="E46" i="298"/>
  <c r="E45" i="298"/>
  <c r="E44" i="298"/>
  <c r="E43" i="298"/>
  <c r="E42" i="298"/>
  <c r="E41" i="298"/>
  <c r="E40" i="298"/>
  <c r="E39" i="298"/>
  <c r="E38" i="298"/>
  <c r="E37" i="298"/>
  <c r="E36" i="298"/>
  <c r="E35" i="298"/>
  <c r="E34" i="298"/>
  <c r="E33" i="298"/>
  <c r="E32" i="298"/>
  <c r="E31" i="298"/>
  <c r="E30" i="298"/>
  <c r="E29" i="298"/>
  <c r="E28" i="298"/>
  <c r="E27" i="298"/>
  <c r="E26" i="298"/>
  <c r="E25" i="298"/>
  <c r="E24" i="298"/>
  <c r="E23" i="298"/>
  <c r="E22" i="298"/>
  <c r="E21" i="298"/>
  <c r="E47" i="298" s="1"/>
  <c r="I14" i="298"/>
  <c r="E14" i="298"/>
  <c r="L39" i="302" l="1"/>
  <c r="M11" i="302" l="1"/>
  <c r="M13" i="302"/>
  <c r="M15" i="302"/>
  <c r="M16" i="302"/>
  <c r="M17" i="302"/>
  <c r="M18" i="302"/>
  <c r="M19" i="302"/>
  <c r="M21" i="302"/>
  <c r="M23" i="302"/>
  <c r="M24" i="302"/>
  <c r="M25" i="302"/>
  <c r="M26" i="302"/>
  <c r="M27" i="302"/>
  <c r="M28" i="302"/>
  <c r="M29" i="302"/>
  <c r="M31" i="302"/>
  <c r="M33" i="302"/>
  <c r="M34" i="302"/>
  <c r="M35" i="302"/>
  <c r="M37" i="302"/>
  <c r="AF50" i="295"/>
  <c r="AF49" i="295"/>
  <c r="Y49" i="295"/>
  <c r="AF48" i="295"/>
  <c r="Y48" i="295"/>
  <c r="AF47" i="295"/>
  <c r="Y47" i="295"/>
  <c r="AF46" i="295"/>
  <c r="Y46" i="295"/>
  <c r="AF45" i="295"/>
  <c r="Y45" i="295"/>
  <c r="Y50" i="295" s="1"/>
  <c r="AF44" i="295"/>
  <c r="AF43" i="295"/>
  <c r="AF42" i="295"/>
  <c r="AF41" i="295"/>
  <c r="AF40" i="295"/>
  <c r="AF39" i="295"/>
  <c r="AF38" i="295"/>
  <c r="AF37" i="295"/>
  <c r="AF36" i="295"/>
  <c r="AF35" i="295"/>
  <c r="AF34" i="295"/>
  <c r="AF33" i="295"/>
  <c r="AF32" i="295"/>
  <c r="AF31" i="295"/>
  <c r="AF30" i="295"/>
  <c r="AF29" i="295"/>
  <c r="AF28" i="295"/>
  <c r="AF27" i="295"/>
  <c r="AF26" i="295"/>
  <c r="AF25" i="295"/>
  <c r="AF24" i="295"/>
  <c r="AF23" i="295"/>
  <c r="AK55" i="292"/>
  <c r="AE55" i="292"/>
  <c r="AB55" i="292"/>
  <c r="Y55" i="292"/>
  <c r="V55" i="292"/>
  <c r="AK54" i="292"/>
  <c r="AE54" i="292"/>
  <c r="AB54" i="292"/>
  <c r="Y54" i="292"/>
  <c r="V54" i="292"/>
  <c r="AK53" i="292"/>
  <c r="AE53" i="292"/>
  <c r="AB53" i="292"/>
  <c r="Y53" i="292"/>
  <c r="V53" i="292"/>
  <c r="AK52" i="292"/>
  <c r="AE52" i="292"/>
  <c r="AB52" i="292"/>
  <c r="Y52" i="292"/>
  <c r="V52" i="292"/>
  <c r="AK48" i="292"/>
  <c r="AE48" i="292"/>
  <c r="AB48" i="292"/>
  <c r="Y48" i="292"/>
  <c r="V48" i="292"/>
  <c r="AK40" i="292"/>
  <c r="AE40" i="292"/>
  <c r="AB40" i="292"/>
  <c r="Y40" i="292"/>
  <c r="V40" i="292"/>
  <c r="AK39" i="292"/>
  <c r="AE39" i="292"/>
  <c r="AB39" i="292"/>
  <c r="Y39" i="292"/>
  <c r="V39" i="292"/>
  <c r="AK38" i="292"/>
  <c r="AE38" i="292"/>
  <c r="AB38" i="292"/>
  <c r="Y38" i="292"/>
  <c r="V38" i="292"/>
  <c r="AK37" i="292"/>
  <c r="AE37" i="292"/>
  <c r="AB37" i="292"/>
  <c r="Y37" i="292"/>
  <c r="V37" i="292"/>
  <c r="AB25" i="292"/>
  <c r="V25" i="292"/>
  <c r="I25" i="292"/>
  <c r="C25" i="292"/>
  <c r="AB23" i="292"/>
  <c r="V23" i="292"/>
  <c r="AB18" i="292"/>
  <c r="V18" i="292"/>
  <c r="I17" i="292"/>
  <c r="C17" i="292"/>
  <c r="C41" i="253" l="1"/>
  <c r="B41" i="253"/>
  <c r="B46" i="253" l="1"/>
  <c r="C46" i="253"/>
  <c r="I12" i="253" l="1"/>
  <c r="H12" i="253"/>
  <c r="I11" i="253"/>
  <c r="H11" i="253"/>
</calcChain>
</file>

<file path=xl/sharedStrings.xml><?xml version="1.0" encoding="utf-8"?>
<sst xmlns="http://schemas.openxmlformats.org/spreadsheetml/2006/main" count="1563" uniqueCount="563">
  <si>
    <t>Capitolo 6 - Giustizia, criminalità e sicurezza</t>
  </si>
  <si>
    <t xml:space="preserve">Tavola 6.1 </t>
  </si>
  <si>
    <t>Movimento dei procedimenti civili per grado di giudizio e ufficio giudiziario</t>
  </si>
  <si>
    <t>Anni 2020-2024</t>
  </si>
  <si>
    <t>Tavola 6.2</t>
  </si>
  <si>
    <t>Procedimenti civili sopravvenuti per grado di giudizio, ufficio giudiziario e distretto di corte di appello</t>
  </si>
  <si>
    <t>Tavola 6.3</t>
  </si>
  <si>
    <t>Movimento dei procedimenti civili presso il Giudice di pace per materia</t>
  </si>
  <si>
    <t>Anni 2024</t>
  </si>
  <si>
    <t>Tavola 6.4</t>
  </si>
  <si>
    <t>Movimento dei procedimenti civili presso i Tribunali ordinari per materia</t>
  </si>
  <si>
    <t>Anno 2024</t>
  </si>
  <si>
    <t>Tavola 6.5</t>
  </si>
  <si>
    <t>Movimento dei procedimenti civili presso le Corti d'appello per materia</t>
  </si>
  <si>
    <t>Tavola 6.6</t>
  </si>
  <si>
    <t>Protesti per titolo protestato e regione della Camera di Commercio che leva il protesto</t>
  </si>
  <si>
    <t>Tavola 6.7</t>
  </si>
  <si>
    <t>Movimento dei ricorsi per grado di giudizio e organo di giustizia amministrativa e contabile</t>
  </si>
  <si>
    <t>Tavola 6.8</t>
  </si>
  <si>
    <t xml:space="preserve">Ricorsi sopravvenuti presso i Tribunali amministrativi regionali per materia e regione </t>
  </si>
  <si>
    <t>Tavola 6.9</t>
  </si>
  <si>
    <t xml:space="preserve">Convenzioni notarili per macrocategorie </t>
  </si>
  <si>
    <t>Tavola 6.10</t>
  </si>
  <si>
    <t>Movimento dei procedimenti penali per grado di giudizio e ufficio giudiziario</t>
  </si>
  <si>
    <t>Tavola 6.11</t>
  </si>
  <si>
    <t>Movimento processuale presso gli uffici giudiziari militari</t>
  </si>
  <si>
    <t>Tavola 6.12</t>
  </si>
  <si>
    <t>Reati militari iscritti nelle Procure militari</t>
  </si>
  <si>
    <t>Tavola 6.13</t>
  </si>
  <si>
    <t>Militari iscritti nel registro degli indagati delle Procure Militari per Forza armata di appartenenza</t>
  </si>
  <si>
    <t>Tavola 6.14</t>
  </si>
  <si>
    <t>Delitti denunciati dalle forze di polizia all'autorità giudiziaria per tipo e regione del commesso delitto</t>
  </si>
  <si>
    <t>Anno 2023</t>
  </si>
  <si>
    <t>Tavola 6.15</t>
  </si>
  <si>
    <t>Condannati sottoposti a misure alternative alla detenzione al 31 dicembre per alcune caratteristiche e regione di esecuzione della misura</t>
  </si>
  <si>
    <t>Tavola 6.16</t>
  </si>
  <si>
    <t>Detenuti presenti nelle strutture penitenziarie per adulti, stranieri, tossicodipendenti e lavoranti al 31 dicembre per sesso e regione di detenzione, capienza delle strutture per regione</t>
  </si>
  <si>
    <t>Tavola 6.17</t>
  </si>
  <si>
    <t>Detenuti presenti nelle strutture penitenziarie per adulti al 31 dicembre per cittadinanza, sesso, tipologia di reato commesso e posizione giuridica</t>
  </si>
  <si>
    <t>Tavola 6.18</t>
  </si>
  <si>
    <t>Minorenni e giovani adulti in carico,  nel corso dell'anno, agli uffici di servizio sociale per i minorenni per cittadinanza, sesso, classe di età e periodo di presa in carico</t>
  </si>
  <si>
    <t>Tavola 6.19</t>
  </si>
  <si>
    <t>Minorenni e giovani adulti presenti al 31 dicembre nei servizi residenziali della giustizia minorile per cittadinanza, sesso, tipologia di servizio e classe di età</t>
  </si>
  <si>
    <t>Tavola 6.20</t>
  </si>
  <si>
    <t>Ingressi, nel corso dell'anno, nei servizi residenziali della giustizia minorile per cittadinanza, sesso, tipologia di servizio e motivo</t>
  </si>
  <si>
    <t>Tavola 6.21</t>
  </si>
  <si>
    <t xml:space="preserve">Delitti a carico dei minorenni e giovani adulti entrati, nel corso dell'anno, nei servizi residenziali della giustizia minorile per cittadinanza e sesso degli autori, tipologia di servizio e di delitto </t>
  </si>
  <si>
    <t>Tavola 6.22</t>
  </si>
  <si>
    <t xml:space="preserve">Centri antiviolenza, donne che hanno contattato il centro, donne prese in carico che hanno iniziato un percorso di uscita dalla violenza, attività di formazione e informazione rivolta a soggetti esterni </t>
  </si>
  <si>
    <t>Tavola 6.23</t>
  </si>
  <si>
    <t>Case rifugio, posti letto effettivamente utilizzati, donne ospitate e numero medio di notti per regione</t>
  </si>
  <si>
    <t>Tavola 6.1</t>
  </si>
  <si>
    <t>ANNI</t>
  </si>
  <si>
    <t>Primo grado</t>
  </si>
  <si>
    <t>Grado di appello</t>
  </si>
  <si>
    <t>Uffici del giudice di pace (a)</t>
  </si>
  <si>
    <t>Tribunali 
(b)</t>
  </si>
  <si>
    <t>Corti di 
appello (c)</t>
  </si>
  <si>
    <t>Totale</t>
  </si>
  <si>
    <t>Corte di cassazione</t>
  </si>
  <si>
    <t>VALORI ASSOLUTI</t>
  </si>
  <si>
    <t>SOPRAVVENUTI</t>
  </si>
  <si>
    <t>ESAURITI</t>
  </si>
  <si>
    <t>PENDENTI A FINE ANNO</t>
  </si>
  <si>
    <t>COMPOSIZIONI PERCENTALI</t>
  </si>
  <si>
    <t>Fonte: Ministero della giustizia - Movimento dei procedimenti civili per grado di giudizio e ufficio giudiziario; Istat - Movimento dei procedimenti civili ed attività varie presso gli uffici giudiziari (E)</t>
  </si>
  <si>
    <t>(a)  A partire dal 2023 è stata modificata la modalità di rilevazione dei dati dai Giudici di Pace, attraverso l'acquisizione centralizzata nel nuovo "Datalake", pertanto potrebbero rilevarsi delle incongruenze con i dati pregressi.</t>
  </si>
  <si>
    <t>(b) Nella voce "Tribunali" sono compresi anche i dati relativi alle Sezioni distaccate di tribunale ed esclusi i dati dei Tribunali per i Minorenni.</t>
  </si>
  <si>
    <t>(c) I distretti di Corte d'appello di Cagliari, Lecce e Trento comprendono le relative sezioni distaccate di Sassari, Taranto e Bolzano. In alcuni casi la Corte d'appello è giudice di primo grado; tra le materie per cui è prevista questa competenza ci sono le controversie relative alla determinazione dell'indennità di espropriazione per pubblica utilità, le validazioni di sentenze straniere (delibazioni), le impugnazioni di provvedimenti amministrativi concernenti la libertà del mercato e la concorrenza e le impugnazioni per nullità di lodi arbitrali.</t>
  </si>
  <si>
    <t xml:space="preserve">ANNI
DISTRETTI </t>
  </si>
  <si>
    <t>Uffici del giudice
 di pace (a)</t>
  </si>
  <si>
    <t>2024 - PER DISTRETTO DI CORTE DI APPELLO (c)</t>
  </si>
  <si>
    <t>Torino</t>
  </si>
  <si>
    <t>Milano</t>
  </si>
  <si>
    <t>Brescia</t>
  </si>
  <si>
    <t>Trento</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</si>
  <si>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</si>
  <si>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</si>
  <si>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</si>
  <si>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</si>
  <si>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</si>
  <si>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</si>
  <si>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</si>
  <si>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</si>
  <si>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</si>
  <si>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</si>
  <si>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</si>
  <si>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</si>
  <si>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</si>
  <si>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</si>
  <si>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</si>
  <si>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</si>
  <si>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</si>
  <si>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</si>
  <si>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</si>
  <si>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</si>
  <si>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</si>
  <si>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</si>
  <si>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Italia</t>
  </si>
  <si>
    <t>(b) Nella voce "Tribunali" sono compresi anche i dati relativi alle sezioni distaccate di tribunale.</t>
  </si>
  <si>
    <t>MATERIE</t>
  </si>
  <si>
    <t>Sopravvenuti</t>
  </si>
  <si>
    <t>Esauriti</t>
  </si>
  <si>
    <t>Pendenti a fine anno</t>
  </si>
  <si>
    <t>Valori 
assoluti</t>
  </si>
  <si>
    <t>Composi-
zioni %</t>
  </si>
  <si>
    <t>Variazioni % 2024/2023</t>
  </si>
  <si>
    <t>ANNO 2024</t>
  </si>
  <si>
    <t>PROCEDIMENTI CIVILI DI COGNIZIONE</t>
  </si>
  <si>
    <t>Cause relative a beni mobili fino a euro 10.000 (a)</t>
  </si>
  <si>
    <t>Risarcimento danni da circolazione (a)</t>
  </si>
  <si>
    <t>Misure e modalità d'uso dei servizi condominiali</t>
  </si>
  <si>
    <t>Immissioni in abitazione (b)</t>
  </si>
  <si>
    <t>Opposizione a decreti ingiuntivi (c)</t>
  </si>
  <si>
    <t>….</t>
  </si>
  <si>
    <t>Altri procedimenti di cognizione ordinaria</t>
  </si>
  <si>
    <t>PROCEDIMENTI SPECIALI DI COGNIZIONE</t>
  </si>
  <si>
    <t xml:space="preserve">Procedimenti monitori (d) </t>
  </si>
  <si>
    <t>Opposizioni a sanzioni amministrative</t>
  </si>
  <si>
    <t>Accertamenti tecnici preventivi (e)</t>
  </si>
  <si>
    <t>Altri procedimenti speciali</t>
  </si>
  <si>
    <t>PROCEDIMENTI NON CONTENZIOSI</t>
  </si>
  <si>
    <t>Conciliazioni</t>
  </si>
  <si>
    <t xml:space="preserve">Ricorsi in materia di immigrazione </t>
  </si>
  <si>
    <t xml:space="preserve">Totale </t>
  </si>
  <si>
    <t>Totale contenzioso (f)</t>
  </si>
  <si>
    <t xml:space="preserve">Totale non contenzioso (g) </t>
  </si>
  <si>
    <t xml:space="preserve">TOTALE GENERALE </t>
  </si>
  <si>
    <t xml:space="preserve">Fonte: Ministero della giustizia - Movimento dei procedimenti civili presso il Giudice di pace per materia;  Istat - Movimento dei procedimenti civili ed attività varie presso gli uffici giudiziari (E) </t>
  </si>
  <si>
    <t>(a) In seguito alle modifiche introdotte dalla Riforma Cartabia, (D.Lvo 149/2022), il limite per la competenza del giudice di pace passa da 5.000 a 10.000 euro per le liti relative a beni mobili e da 20.000 a 25.000 euro per le controversie in materia di risarcimento dei danni da circolazione di veicoli e natanti.</t>
  </si>
  <si>
    <t>(b) Cause relative ad abitazioni civili in materia di immissioni di fumo o di calore, esalazioni, rumori etc. che superino la nomale tollerabilità.</t>
  </si>
  <si>
    <t>(c) A partire dal 2023 è stata modificata la modalità di rilevazione dei dati dai Giudici di Pace, attraverso l'acquisizione centralizzata nel nuovo "Datalake", pertanto potrebbero rilevarsi delle incongruenze con i dati pregressi. Inoltre, con il nuovo sistema non è ancora possibile disporre del dettaglio delle "opposizioni ai decreti ingiuntivi" che si distribuiscono nelle altre voci dei "procedimenti civili di cognizione".</t>
  </si>
  <si>
    <t>(d) Il procedimento monitorio è la fase iniziale del procedimento ingiuntivo per il recupero di un credito, disciplinato dagli artt. 633 e seguenti del codice di procedura civile.</t>
  </si>
  <si>
    <t>(e) Accertamenti tecnici preventivi previsti dall’art. 696 del codice di procedura civile.</t>
  </si>
  <si>
    <t>(f) Conteggio effettuato per somma delle materie classificabili come "contenzioso". Nello specifico: l'insieme dei procedimenti civili di cognizione e le opposizioni alle sanzioni amministrative.</t>
  </si>
  <si>
    <t>(g) Conteggio effettuato per somma delle materie classificabili come "non contenzioso". Nello specifico: i procedimenti speciali di cognizione con l'eccezione delle opposizioni alle sanzioni amministrative, le conciliazioni, i ricorsi in materia di immigrazione.</t>
  </si>
  <si>
    <t>Movimento dei procedimenti civili presso i Tribunali ordinari per materia (a)</t>
  </si>
  <si>
    <t xml:space="preserve">Cognizione ordinaria </t>
  </si>
  <si>
    <t>Contenzioso commerciale</t>
  </si>
  <si>
    <r>
      <t xml:space="preserve">Totale </t>
    </r>
    <r>
      <rPr>
        <sz val="7"/>
        <color indexed="8"/>
        <rFont val="Arial"/>
        <family val="2"/>
      </rPr>
      <t>(b)</t>
    </r>
  </si>
  <si>
    <t>SEPARAZIONI E DIVORZI</t>
  </si>
  <si>
    <t>Separazione consensuale e divorzio congiunto</t>
  </si>
  <si>
    <t>Separazione giudiziale e divorzio</t>
  </si>
  <si>
    <r>
      <t xml:space="preserve">Totale </t>
    </r>
    <r>
      <rPr>
        <sz val="7"/>
        <color indexed="8"/>
        <rFont val="Arial"/>
        <family val="2"/>
      </rPr>
      <t>(c)</t>
    </r>
  </si>
  <si>
    <t>LAVORO E PREVIDENZA</t>
  </si>
  <si>
    <t>Lavoro - pubblico impiego</t>
  </si>
  <si>
    <t>Lavoro - non pubblico impiego</t>
  </si>
  <si>
    <t>Previdenza e Assistenza</t>
  </si>
  <si>
    <t>Lavoro e Prev. Procedimenti Speciali (d)</t>
  </si>
  <si>
    <t xml:space="preserve"> PROCEDURE CONCORSUALI (Fase Dichiarativa) (e) </t>
  </si>
  <si>
    <t>Procedure di CCS (f)</t>
  </si>
  <si>
    <t>Liquidazione giudiziale</t>
  </si>
  <si>
    <t xml:space="preserve">Altre Procedure Concorsuali </t>
  </si>
  <si>
    <t xml:space="preserve">PROCEDURE CONCORSUALI (Fase Esecutiva) (e) </t>
  </si>
  <si>
    <t xml:space="preserve">FALLIMENTARE E PROCEDURE CONCORSUALI (PRE - RIFORMA) (e) </t>
  </si>
  <si>
    <t>Istanze di fallimento</t>
  </si>
  <si>
    <t>Procedure fallimentari</t>
  </si>
  <si>
    <t>ESECUZIONI MOBILIARI E IMMOBILIARI</t>
  </si>
  <si>
    <t>Procedimenti esecuzioni immobiliari</t>
  </si>
  <si>
    <t>Procedimenti esecuzioni mobiliari</t>
  </si>
  <si>
    <r>
      <t xml:space="preserve">Totale </t>
    </r>
    <r>
      <rPr>
        <sz val="7"/>
        <color indexed="8"/>
        <rFont val="Arial"/>
        <family val="2"/>
      </rPr>
      <t>(g)</t>
    </r>
  </si>
  <si>
    <t>ALTRI PROCEDIMENTI SPECIALI (h)</t>
  </si>
  <si>
    <t>Decreti ingiuntivi e altri procedimenti speciali</t>
  </si>
  <si>
    <t>Atti Amministrativi (i)</t>
  </si>
  <si>
    <t>DELLO STATO E DELLA CAPACITÀ GIURIDICA DELLE PERSONE</t>
  </si>
  <si>
    <t>Tutele</t>
  </si>
  <si>
    <t>Curatele</t>
  </si>
  <si>
    <t>Eredità giacenti</t>
  </si>
  <si>
    <r>
      <t>Interdizioni e inabilitazioni (contenzios</t>
    </r>
    <r>
      <rPr>
        <sz val="7"/>
        <rFont val="Arial"/>
        <family val="2"/>
      </rPr>
      <t>o) (l)</t>
    </r>
  </si>
  <si>
    <t>Amministrazioni di sostegno</t>
  </si>
  <si>
    <t>Altri procedimenti Giudice Tutelare (m)</t>
  </si>
  <si>
    <t>Altri procedimenti non contenziosi "Volontaria Giurisdizione" (m)</t>
  </si>
  <si>
    <t>TOTALE GENERALE</t>
  </si>
  <si>
    <t>Di cui: totale contenzioso (n)</t>
  </si>
  <si>
    <t>Di cui: totale non contenzioso (o)</t>
  </si>
  <si>
    <t xml:space="preserve">Fonte: Ministero della giustizia - Movimento dei procedimenti civili presso i Tribunali ordinari per materia; Istat - Movimento dei procedimenti civili ed attività varie presso gli uffici giudiziari (E) 
</t>
  </si>
  <si>
    <t>(a) Dati non completamente comparabili con i dati precedenti a causa delle modifiche normative introdotte dalla Riforma Cartabia.</t>
  </si>
  <si>
    <t>(b) A seguito dell'applicazione, nel corso del 2023, delle modifiche normative previste nel d.lgs. 10 ottobre 2022, n. 150, attuativo della legge 134/2021 (cosiddetta riforma Cartabia) il rito sommario è stato soppresso. Per tale motivo i "Procedimenti civili di cognizione" sono stati organizzati in due voci principali: Contenzioso commerciale e Cognizione Ordinaria, comprensive sia del primo sia del secondo grado di giudizio.</t>
  </si>
  <si>
    <t>(c) Con l'introduzione della Riforma Cartabia si è reso necessario gestire con nuovi codici oggetto le recenti variazioni nelle procedure relative a separazioni e divorzi: "Separazione consensuale e divorzio congiunto" e "Separazione giudiziale e divorzio" i precedenti codici sono stati considerati insieme ai nuovi introdotti con la riforma. Nei procedimenti sono comprese le omologhe degli accordi di mediazione civile.</t>
  </si>
  <si>
    <t>(d) I procedimenti speciali in materia di lavoro e di previdenza includono "opposizioni ordinarie, ingiunzioni, controversie sul lavoro e previdenza" e comprendono anche gli accertamenti tecnici preventivi che rappresentano però un'attività non propriamente giurisdizionale che è pertanto esclusa dai flussi pubblicati dal Ministero della Giustizia.</t>
  </si>
  <si>
    <t>(e) Il 15 luglio 2022 è entrato in vigore, con il D.lgs 14/2019, modificato, da ultimo, dal D.lgs. 83/2022, il Codice della Crisi di Impresa e dell’Insolvenza (CCII) che unifica in un solo codice la disciplina della crisi di ogni tipologia di debitore. Le variazioni rispetto ai valori riportati l'anno precedente non sono coerenti.</t>
  </si>
  <si>
    <t>(f) La voce "Procedure di CCS" (Codice della Crisi da Sovraindebitamento) comprende la liquidazione controllata, la ristrutturazione per debiti del consumatore e il concordato minore.</t>
  </si>
  <si>
    <t>(g) Le esecuzioni mobiliari e immobiliari sono escluse dalla classificazione e dal conteggio dei procedimenti come "contenziosi" e "non contenziosi".</t>
  </si>
  <si>
    <t>(h) In "Altri procedimenti speciali" sono compresi i procedimenti di ingiunzione, i procedimenti speciali sommari (cautelari e possessori, famiglia) e le convalide di sfratto; sono esclusi i procedimenti speciali in materia di lavoro.</t>
  </si>
  <si>
    <t>(i) Gli atti amministrativi comprendono  gli "accertamenti tecnici preventivi, la previdenza, il ricevimento e la verbalizzazione di dichiarazione giurata".</t>
  </si>
  <si>
    <t>(l) Per la voce "Interdizioni e inabilitazioni (contenzioso)", la variazione percentuale rispetto all'anno precedente è calcolata su dati corretti rispetto a quelli pubblicati nella scorsa edizione dell'Annuario Statistico Italiano. Per l'anno 2023, i dati corretti degli esauriti erano 1.933, anziché 988, e dei pendenti a fine anno 988, anziché 1.933. Per gli esauriti, il totale contenzioso e il totale generale corretti erano rispettivamente 726.964 e 2.271.640, anziché 726.019 e 2.270.695; per i pendenti a fine anno, il totale contenzioso e il totale generale corretti erano rispettivamente 1.060.713 e 2.176.489, invece di 1.061.658 e 2.177.434.</t>
  </si>
  <si>
    <t>(m) Dati non completamente comparabili a causa delle modifiche normative introdotte dalla Riforma Cartabia e i conseguenti adeguamenti informatici operati sui registri in uso presso gli uffici giudiziari, nonché lo spostamento di procedimenti nella materia cognizione ordinaria.</t>
  </si>
  <si>
    <t>(n) Conteggio effettuato per somma delle materie classificabili come "contenzioso". Nello specifico: il totale dei procedimenti civili di cognizione; le separazioni personali giudiziali dei coniugi; i procedimenti per lavoro e previdenza; le istanze di fallimento, le liquidazioni giudiziali della "fase dichiarativa" e il contenzioso in materia di interdizioni e inabilitazioni.</t>
  </si>
  <si>
    <t xml:space="preserve">(o) Conteggio effettuato per somma delle materie classificabili come "non contenzioso". Nello specifico: "Separazione consensuale" e "Divorzio congiunto"; "Le procedure fallimentari e altre Procedure Concorsuali (i Concordati preventivi e le Amministrazioni controllate); le procedure concorsuali della Fase dichiarativa ed esecutiva, ad eccezione delle liquidazioni giudiziali della fase dichiarativa assimilabili alle istanze di fallimento; i procedimenti speciali contenuti nella macrovoce "altri procedimenti speciali"; la macrovoce "dello stato e della capacità giuridica delle persone" eccetto le controversie in materia di "Interdizioni e inabilitazioni". </t>
  </si>
  <si>
    <t>Anno 2024 (a)</t>
  </si>
  <si>
    <t>PROCEDIMENTI CONTENZIOSI (c)</t>
  </si>
  <si>
    <t>Procedimenti di Equa riparazione (b)</t>
  </si>
  <si>
    <t>Cognizione ordinaria</t>
  </si>
  <si>
    <t>Di cui:  Impugnazioni di lodi arbitrali nazionali ai sensi dell'art 828 c.p.c. (d)</t>
  </si>
  <si>
    <t>Di cui:  Procedimenti relativi al tribunale delle acque pubbliche</t>
  </si>
  <si>
    <t>Contenzioso commerciale (e)</t>
  </si>
  <si>
    <t>Totale (f)</t>
  </si>
  <si>
    <t>SEPARAZIONI E DIVORZI (g)</t>
  </si>
  <si>
    <t>Separazione giudiziale e divorzio contenzioso</t>
  </si>
  <si>
    <t xml:space="preserve"> Lavoro - pubblico impiego</t>
  </si>
  <si>
    <t xml:space="preserve"> Lavoro - non pubblico impiego e procedimenti speciali</t>
  </si>
  <si>
    <t xml:space="preserve"> Previdenza e Assistenza</t>
  </si>
  <si>
    <t>Altri procedimenti non contenziosi</t>
  </si>
  <si>
    <t>Procedimenti non contenziosi 
in materia minorile</t>
  </si>
  <si>
    <t>Totale contenzioso (h)</t>
  </si>
  <si>
    <t>Totale non contenzioso (i)</t>
  </si>
  <si>
    <t>TOTALE GENERALE (l)</t>
  </si>
  <si>
    <t xml:space="preserve">Fonte: Ministero della giustizia - Movimento dei procedimenti civili presso le Corti d'appello per materia; Istat - Movimento dei procedimenti civili ed attività varie presso gli uffici giudiziari (E) </t>
  </si>
  <si>
    <t>(a) La classificazione delle materie in base al grado di giudizio  non sono attualmente disponibili in seguito alle modifiche legislative e alle contemporanee modifiche necessarie a livello informatico per adeguare i registri.</t>
  </si>
  <si>
    <t xml:space="preserve">(b) In coerenza con la classificazione della Commissione europea per l'efficienza della giustizia (CepeJ), la voce "Equa riparazione" è compresa nel "totale contenzioso". La voce contiene i procedimenti di equa riparazione per violazione del termine ragionevole del processo (legge 89/2001) e delle opposizioni ex art. 5ter della legge 89/2001. </t>
  </si>
  <si>
    <t>(c)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</si>
  <si>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(d) Nell'edizione precedente -ASI 2024 sui dati 2023-, i dati riportati in tabella si riferivano alle "Impugnazioni di lodi arbitrali" internazionali; quelle "nazionali ai sensi dell'art. 828 c.p.c." erano, rispettivamente,  196 sopravvenuti invece di 15; 249 esauriti invece di 17; 563 pendenti invece di 27.</t>
  </si>
  <si>
    <t>(e) Il confronto temporale relativo al contenzioso commerciale risulta ancora influenzato da nuovi codici oggetto introdotti nel 2020 e dal loro ulteriore aggiornamento, conseguenza delle successive modifiche al codice delle crisi d'impresa.</t>
  </si>
  <si>
    <t xml:space="preserve">(f) 'La variazione percentuale rispetto all'anno 2023 è calcolata su dati aggiornati rispetto a quelli pubblicati nella edizione precedente -ASI 2024 sui dati 2023. Inoltre, nel 2023 i dati di equa riparazione erano stati conteggiati nel totale dei procedimenti contenziosi. I dati corretti, per l'anno 2023, del  totale dei "procedimenti contenziosi", senza l'equa riparazione e con il dato coretto delle "Impugnazioni di lodi arbitrali nazionali ai sensi dell'art 828 c.p.c.", sono rispettivamente, sopravvenuti  45.195, esauriti 55.596 e pendenti 121.765. </t>
  </si>
  <si>
    <t>(g) Con la Riforma Cartabia, entrata in vigore dal 28 febbraio 2023, sono stati introdotti nuovi codici oggetto per 'Separazione consensuale e divorzio congiunto' e per 'Separazione giudiziale e divorzio';  entrambe le voci sono state accorpate con le precedenti codifiche utilizzate ancora nel corso del 2023 da parte degli uffici giudiziari.</t>
  </si>
  <si>
    <t>(h) Conteggio effettuato per somma delle materie classificabili come "contenzioso". Nello specifico: l'equa riparazione (vedi nota b), i procedimenti  contenziosi;  le separazioni e i divorzi giudiziali; il lavoro e previdenza. Inoltre la variazione percentuale è calcolata su i dati aggiornati del 2023 che, per il totale contenzioso sono: sopravvenuti 87.772, esauriti 105.058, pendenti 168.736.</t>
  </si>
  <si>
    <t>(i) Conteggio effettuato per somma delle materie classificabili come "non contenzioso". Nello specifico: i procedimenti non contenziosi, le separazioni consensuali e i divorzi congiunti.</t>
  </si>
  <si>
    <t>(l) La variazione percentuale del totale generale è calcolata sui dati aggiornati del 2023 che, per il totale generale, sono: sopravvenuti 94.131, esauriti 112.518, pendenti 172.378.</t>
  </si>
  <si>
    <r>
      <t xml:space="preserve">Protesti per titolo protestato e regione della Camera di Commercio che leva il protesto </t>
    </r>
    <r>
      <rPr>
        <sz val="9"/>
        <rFont val="Arial"/>
        <family val="2"/>
      </rPr>
      <t>(a)</t>
    </r>
  </si>
  <si>
    <t>ANNI
REGIONI</t>
  </si>
  <si>
    <t xml:space="preserve">Cambiali ordinarie (b)  </t>
  </si>
  <si>
    <t xml:space="preserve">Assegni (c) </t>
  </si>
  <si>
    <t>Totale (d)</t>
  </si>
  <si>
    <t>Valore
(in migliaia
di euro)</t>
  </si>
  <si>
    <t>Valori
assoluti</t>
  </si>
  <si>
    <t>Valore
(in migliaia
di euro) (e)</t>
  </si>
  <si>
    <t>Piemonte</t>
  </si>
  <si>
    <t>Valle d'Aosta/Vallée d'Aoste</t>
  </si>
  <si>
    <t>-</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</si>
  <si>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</si>
  <si>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</si>
  <si>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</si>
  <si>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</si>
  <si>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</si>
  <si>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</si>
  <si>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</si>
  <si>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</si>
  <si>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</si>
  <si>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</si>
  <si>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</si>
  <si>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</si>
  <si>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</si>
  <si>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</si>
  <si>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</si>
  <si>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</si>
  <si>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</si>
  <si>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</si>
  <si>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 xml:space="preserve">Sardegna </t>
  </si>
  <si>
    <t>Nord-ovest</t>
  </si>
  <si>
    <t>Nord-est</t>
  </si>
  <si>
    <t>Centro</t>
  </si>
  <si>
    <t>Sud</t>
  </si>
  <si>
    <t>Isole</t>
  </si>
  <si>
    <t>ITALIA</t>
  </si>
  <si>
    <t xml:space="preserve">Fonte: Istat, Protesti (R) </t>
  </si>
  <si>
    <t>(a) Dati provvisori.  I dati sono estrapolati mensilmente, a 90 giorni  di distanza dal mese di riferimento del dato. Negli anni 2020 e 2021, al fine di contenere le conseguenze negative sull'economia, come effetto della diffusione del virus COVID-19, per le levate che ricadevano nel periodo dal 09 marzo 2020 al 30 settembre 2021, sono intervenute diverse leggi che hanno agito, per lo più retroattivamente, andando a cancellare e sospendere i protesti  (art. 10, decreto legge n.9/2020 del 2 marzo, decreto legge n. 23/2020 dell'8 aprile (decreto Liquidità);  Legge n. 40/2020 del 5 giugno; decreto legge n.104/2020 del 14 agosto; legge di Bilancio n. 178/2020 del 30 dicembre; legge n. 106/2021 del 23 luglio).</t>
  </si>
  <si>
    <t>(b) Tra le "cambiali ordinarie" sono compresi i pagherò o vaglia cambiari e le tratte accettate; non sono comprese le "tratte non accettate" e le "tratte a vista".</t>
  </si>
  <si>
    <t xml:space="preserve">(c) Gli "assegni" comprendono assegni postali e bancari. </t>
  </si>
  <si>
    <t>(d) A partire dal 2021 non sono più disponibili i dati sulle tratte non accettate e le tratte a vista. Tali dati non sono compresi nemmeno nei totali riguardanti gli anni 2019-2020 per consentire un confronto dei valori riguardanti i totali dei protesti per l'intera serie storica riportata.</t>
  </si>
  <si>
    <t>(e) Il valore del totale dei protesti  indicato nella colonna I può essere leggermente differente dal totale ottenuto come somma degli importi degli assegni e delle cambiali indicati in colonna C ed F, poiché i valori riportati in tabella, per esigenze editoriali, sono arrotondati e approssimati in migliaia.</t>
  </si>
  <si>
    <r>
      <t xml:space="preserve">Movimento dei ricorsi per grado di giudizio e organo di giustizia amministrativa e contabile </t>
    </r>
    <r>
      <rPr>
        <sz val="9"/>
        <rFont val="Arial"/>
        <family val="2"/>
      </rPr>
      <t>(a)</t>
    </r>
  </si>
  <si>
    <t>Tribunali 
amministrativi 
regionali</t>
  </si>
  <si>
    <t xml:space="preserve">Corte dei
conti (b)
</t>
  </si>
  <si>
    <t xml:space="preserve">Consiglio di Stato (c) 
</t>
  </si>
  <si>
    <t xml:space="preserve">Consiglio di giustizia
amministrativa per la 
Regione Siciliana (c) </t>
  </si>
  <si>
    <t>DEPOSITATI</t>
  </si>
  <si>
    <t>DEFINITI</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</si>
  <si>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</si>
  <si>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
I TAR per il primo grado e il Consiglio di Stato e il Consiglio di giustizia amministrativa per la Regione Siciliana per l'appello, si stanno impegnando a ridurre il numero dei ricorsi pendenti, in ultimo anche al fine di ottemperare agli obiettivi del piano nazionale ripresa e resilienza (PNRR) che prevede entro il 30 giugno 2026 una riduzione del 70% dell'arretrato esistente al dicembre 2019.</t>
  </si>
  <si>
    <t>(b) Compresi i giudizi di cui all'art.1 della legge 14 gennaio 1994, n. 19. I procedimenti pendenti sono stati oggetto di verifica in seguito al decentramento di alcune attribuzioni presso gli organi giurisdizionali regionali della Corte dei conti.</t>
  </si>
  <si>
    <t>(c) Il dato sui ricorsi definiti presso il Consiglio di Stato e presso il Consiglio di giustizia amministrativa per la Regione Siciliana (CGARS) non tiene conto delle definizioni con ordinanza cautelare. Esse, nel 2024, sono state pari a 2.052 presso il Consiglio di Stato e 191 presso il CGARS.</t>
  </si>
  <si>
    <t xml:space="preserve"> </t>
  </si>
  <si>
    <t>ANNI 
REGIONI
RIPARTIZIONI GEOGRAFICHE</t>
  </si>
  <si>
    <t>Di cui:</t>
  </si>
  <si>
    <t>Edilizia
 e urba-
nistica</t>
  </si>
  <si>
    <t>Esecu-
zione del
giudicato (a)</t>
  </si>
  <si>
    <t>Stranieri (b)</t>
  </si>
  <si>
    <t>Autorizza-
zioni e 
conces-
sioni</t>
  </si>
  <si>
    <t>Pubblico impiego</t>
  </si>
  <si>
    <t>Appalti pubblici, lavori e forniture</t>
  </si>
  <si>
    <t>Istruzione</t>
  </si>
  <si>
    <t>Sicurezza pubblica</t>
  </si>
  <si>
    <t>Ambiente</t>
  </si>
  <si>
    <t>Servizio sanitario nazionale</t>
  </si>
  <si>
    <t>Commercio, artigianato</t>
  </si>
  <si>
    <t>Piano Nazionale di Ripresa e Resilienza (PNRR) (c)</t>
  </si>
  <si>
    <t>REGIONI (valori assoluti)</t>
  </si>
  <si>
    <t>Valle d'Aosta/
Vallée d'Aoste</t>
  </si>
  <si>
    <t xml:space="preserve">Liguria  </t>
  </si>
  <si>
    <t xml:space="preserve">Bolzano/Bozen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</si>
  <si>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</si>
  <si>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</si>
  <si>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</si>
  <si>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</si>
  <si>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</si>
  <si>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</si>
  <si>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</si>
  <si>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</si>
  <si>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</si>
  <si>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Per la voce  "Esecuzione del giudicato" il cambiamento della classificazione dei ricorsi per materia, applicato ai dati 2022, ha comportato un'interruzione della serie storica.</t>
  </si>
  <si>
    <t>(b) Ricorsi presentati da persone di cittadinanza straniera in tema di: permesso di soggiorno; istanza di emersione da rapporto di lavoro irregolare; risarcimento del danno.</t>
  </si>
  <si>
    <t xml:space="preserve">(c) La voce "Piano Nazionale di Ripresa e Resilienza (PNRR)" è stata aggiunta alla classificazione dei ricorsi nell'ottobre 2022. </t>
  </si>
  <si>
    <t>TIPI DI CONVENZIONI</t>
  </si>
  <si>
    <t>2022 (a)</t>
  </si>
  <si>
    <t>2023 (a)</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</si>
  <si>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</si>
  <si>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</si>
  <si>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</si>
  <si>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</si>
  <si>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</si>
  <si>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</si>
  <si>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</si>
  <si>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</si>
  <si>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</si>
  <si>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</si>
  <si>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</si>
  <si>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</si>
  <si>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</si>
  <si>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COMPOSIZIONI PERCENTUALI</t>
  </si>
  <si>
    <t>VARIAZIONI PERCENTUALI RISPETTO ALL'ANNO PRECEDENTE</t>
  </si>
  <si>
    <t>Fonte: Istat, Atti e convenzioni stipulati presso i notai (E)</t>
  </si>
  <si>
    <t>(a) I dati del 2022 divergono da quelli pubblicati nella edizione precedente a causa di un aggiornamento successivo. Cambiano, di conseguenza, anche le variazioni percentuali dell'anno 2023 calcolate sul dato aggiornato del 2022.</t>
  </si>
  <si>
    <t xml:space="preserve">Movimento dei procedimenti penali per grado di giudizio e ufficio giudiziario </t>
  </si>
  <si>
    <t>GRADI DI GIUDIZIO
UFFICI GIUDIZIARI</t>
  </si>
  <si>
    <t>Movimento (b)</t>
  </si>
  <si>
    <t>Sopravvenuti 
per 1.000 
abitanti (c)</t>
  </si>
  <si>
    <t>UFFICI GIUDIZIARI PER ADULTI</t>
  </si>
  <si>
    <t>PRIMO GRADO</t>
  </si>
  <si>
    <t>Procure della Repubblica: procedimenti contro noti</t>
  </si>
  <si>
    <t>Gip e Gup: procedimenti contro noti</t>
  </si>
  <si>
    <t>Tribunali rito monocratico</t>
  </si>
  <si>
    <t>Uffici del Giudice di pace: dibattimento</t>
  </si>
  <si>
    <t>Uffici del Giudice di pace: Gip, procedimenti contro noti</t>
  </si>
  <si>
    <t>Tribunali rito collegiale</t>
  </si>
  <si>
    <t>Corti di assise</t>
  </si>
  <si>
    <t>GRADO DI APPELLO</t>
  </si>
  <si>
    <t>Corti di appello</t>
  </si>
  <si>
    <t>Corti di assise di appello</t>
  </si>
  <si>
    <t>UFFICI GIUDIZIARI PER MINORENNI</t>
  </si>
  <si>
    <t/>
  </si>
  <si>
    <t>Procure presso i tribunali per i minorenni</t>
  </si>
  <si>
    <t>Gip e Gup presso i tribunali per i minorenni</t>
  </si>
  <si>
    <t>Tribunali per i minorenni</t>
  </si>
  <si>
    <t>Sezioni per minorenni delle Corti di appello</t>
  </si>
  <si>
    <t>Fonte: Ministero della giustizia - Movimento dei procedimenti penali per grado di giudizio e ufficio giudiziario; Istat - Movimento dei procedimenti penali ed attività varie presso gli uffici giudiziari (E)</t>
  </si>
  <si>
    <t>(a) Dati provvisori. I valori si riferiscono ai fascicoli iscritti (sopravvenuti), definiti (esauriti), giacenti (pendenti) nei singoli uffici giudiziari tenendo conto che un fascicolo definito in un ufficio può dare luogo a una iscrizione in un altro ufficio all'interno del medesimo grado di giudizio.</t>
  </si>
  <si>
    <t>(b) Il dato relativo ai procedimenti definiti è approssimato per difetto per motivi legati alle loro modalità di registrazione.</t>
  </si>
  <si>
    <t>(c) Popolazione al primo gennaio 2024.</t>
  </si>
  <si>
    <t>6.11 - Movimento processuale presso gli uffici giudiziari militari</t>
  </si>
  <si>
    <t>Sede</t>
  </si>
  <si>
    <t>Movimento processuale</t>
  </si>
  <si>
    <t>PROCURE MILITARI</t>
  </si>
  <si>
    <t>Verona</t>
  </si>
  <si>
    <t>Roma (a)</t>
  </si>
  <si>
    <t>UFFICI DEL GIP/GUP PRESSO I TRIBUNALI MILITARI</t>
  </si>
  <si>
    <t>TRIBUNALI MILITARI</t>
  </si>
  <si>
    <t>CORTE MILITARE DI APPELLO</t>
  </si>
  <si>
    <t>Fonte : Ministero della Difesa - Consiglio della magistratura militare; Istat - I dati della giustizia militare (E)</t>
  </si>
  <si>
    <t>(a) il dato dei pendenti della procura militare di Roma a fine 2023, pubblicato nell'edizione precedente, è stato rivisto ed è risultato essere pari a 229 invece di 428.</t>
  </si>
  <si>
    <t>6.12 - Reati militari iscritti nelle Procure militari</t>
  </si>
  <si>
    <t>Reato militare</t>
  </si>
  <si>
    <t>Sede della Procura militare</t>
  </si>
  <si>
    <t>Valori assoluti</t>
  </si>
  <si>
    <t>%</t>
  </si>
  <si>
    <t>Contro la fedeltà e la difesa militare</t>
  </si>
  <si>
    <t>Contro la persona</t>
  </si>
  <si>
    <t xml:space="preserve">Diffamazione </t>
  </si>
  <si>
    <t xml:space="preserve">Ingiuria </t>
  </si>
  <si>
    <t xml:space="preserve">Lesione personale </t>
  </si>
  <si>
    <t xml:space="preserve">Minaccia </t>
  </si>
  <si>
    <t xml:space="preserve">Percosse </t>
  </si>
  <si>
    <t>Contro la disciplina e il servizio militare</t>
  </si>
  <si>
    <r>
      <t>Distruzione o deterioramento di cose mobili militari</t>
    </r>
    <r>
      <rPr>
        <sz val="7"/>
        <rFont val="Arial"/>
        <family val="2"/>
      </rPr>
      <t xml:space="preserve"> (a)</t>
    </r>
    <r>
      <rPr>
        <i/>
        <sz val="7"/>
        <rFont val="Arial"/>
        <family val="2"/>
      </rPr>
      <t xml:space="preserve">
</t>
    </r>
  </si>
  <si>
    <t xml:space="preserve">Abbandono di posto o violata consegna da parte di militare di guardia o servizio </t>
  </si>
  <si>
    <t xml:space="preserve">Insubordinazione con minaccia o ingiuria </t>
  </si>
  <si>
    <t xml:space="preserve">Minaccia o ingiuria a un inferiore
</t>
  </si>
  <si>
    <t xml:space="preserve">Diserzione
</t>
  </si>
  <si>
    <t xml:space="preserve">Disobbedienza
</t>
  </si>
  <si>
    <r>
      <t xml:space="preserve">Simulazione d'infermità </t>
    </r>
    <r>
      <rPr>
        <sz val="7"/>
        <color theme="1"/>
        <rFont val="Arial"/>
        <family val="2"/>
      </rPr>
      <t>(b)</t>
    </r>
    <r>
      <rPr>
        <i/>
        <sz val="7"/>
        <color theme="1"/>
        <rFont val="Arial"/>
        <family val="2"/>
      </rPr>
      <t xml:space="preserve">
</t>
    </r>
  </si>
  <si>
    <t>Contro il patrimonio o contro l'amministrazione militare</t>
  </si>
  <si>
    <t xml:space="preserve">Furto Militare </t>
  </si>
  <si>
    <t xml:space="preserve">Truffa </t>
  </si>
  <si>
    <t xml:space="preserve">Peculato </t>
  </si>
  <si>
    <t>Reati di falso</t>
  </si>
  <si>
    <t>Fonte : Ministero della Difesa - Consiglio della magistratura militare - I dati della giustizia militare (E)</t>
  </si>
  <si>
    <t>(a) Il codice penale militare considera la voce "distruzione o deterioramento di cose mobili militari" appartenente ai reati contro il servizio militare.</t>
  </si>
  <si>
    <t>(b) La voce "Simulazione d'infermità" si riferisce agli artt. dal 158 al 161 del C.P.M.P..</t>
  </si>
  <si>
    <t>6.13 - Militari iscritti nel registro degli indagati delle Procure militari per Forza armata di appartenenza</t>
  </si>
  <si>
    <t>FORZA ARMATA (a)</t>
  </si>
  <si>
    <t>Ufficiali</t>
  </si>
  <si>
    <t>Sottufficiali</t>
  </si>
  <si>
    <t>Graduati e truppa (b)</t>
  </si>
  <si>
    <t>Esercito Italiano</t>
  </si>
  <si>
    <t>Aeronautica Miltare</t>
  </si>
  <si>
    <t>Marina Militare</t>
  </si>
  <si>
    <t>Arma dei Carabinieri</t>
  </si>
  <si>
    <t>Guardia di Finanza</t>
  </si>
  <si>
    <t>(a) Le frequenze assolute dei dati sono influenzate dalla consistenza numerica totale del personale appartenente a ciascuna Forza Armata, nonché dalla distribuzione geografica del personale sul territorio nazionale. Nel 2024 risultano essere in complesso indagate 90 donne militari.</t>
  </si>
  <si>
    <t>(b) I dati della categoria "Graduati e truppa" corrispondono a quella "Graduati" della edizione dell'Annuario Statistico Italiano 2024.</t>
  </si>
  <si>
    <r>
      <t xml:space="preserve">Delitti denunciati dalle forze di polizia all'autorità giudiziaria per tipo e regione del commesso delitto </t>
    </r>
    <r>
      <rPr>
        <sz val="9"/>
        <rFont val="Arial"/>
        <family val="2"/>
      </rPr>
      <t>(a)</t>
    </r>
  </si>
  <si>
    <t>Tipo di delitto</t>
  </si>
  <si>
    <t>Omicidi 
volontari 
consumati</t>
  </si>
  <si>
    <t>Omicidi
volontari
tentati</t>
  </si>
  <si>
    <t>Lesioni 
dolose</t>
  </si>
  <si>
    <t>Violenze 
sessuali</t>
  </si>
  <si>
    <t>Sfruttamento
e favoreggia-
mento della
prostituzione</t>
  </si>
  <si>
    <t>Furti</t>
  </si>
  <si>
    <t>Rapine</t>
  </si>
  <si>
    <t>Estor-
sioni</t>
  </si>
  <si>
    <t>Truffe e 
frodi 
informa-
tiche</t>
  </si>
  <si>
    <t>Ricet-
tazione</t>
  </si>
  <si>
    <t>Normativa sugli 
stupefacenti</t>
  </si>
  <si>
    <t>2023 - PER REGIONE</t>
  </si>
  <si>
    <t xml:space="preserve">Piemonte </t>
  </si>
  <si>
    <t xml:space="preserve">Friuli-Venezia Giulia </t>
  </si>
  <si>
    <t>Sardegna</t>
  </si>
  <si>
    <t>VALORI PER 100.000 ABITANTI</t>
  </si>
  <si>
    <t>Fonte: Ministero dell’interno - Numero dei delitti denunciati all'Autorità giudiziaria dalle Forze di polizia (R); Istat - Delitti denunciati dalle forze di polizia all'autorità giudiziaria (E)</t>
  </si>
  <si>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</si>
  <si>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</si>
  <si>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Condannati sottoposti a misure alternative</t>
  </si>
  <si>
    <t>Di cui: Stranieri</t>
  </si>
  <si>
    <t>Per tipo di misura</t>
  </si>
  <si>
    <t>Di cui: 
Femmine
(%)</t>
  </si>
  <si>
    <t>Affidamento in prova</t>
  </si>
  <si>
    <t>Detenzione
domiciliare</t>
  </si>
  <si>
    <t>Semilibertà</t>
  </si>
  <si>
    <r>
      <t>Di cui</t>
    </r>
    <r>
      <rPr>
        <sz val="7"/>
        <color indexed="10"/>
        <rFont val="Arial"/>
        <family val="2"/>
      </rPr>
      <t>:</t>
    </r>
    <r>
      <rPr>
        <sz val="7"/>
        <rFont val="Arial"/>
        <family val="2"/>
      </rPr>
      <t xml:space="preserve"> 
Tossico-alcool
dipendenti (%)</t>
    </r>
  </si>
  <si>
    <t>2024 - PER REGIONE DI ESECUZIONE DELLA MISURA</t>
  </si>
  <si>
    <t>Fonte: Ministero della giustizia – Dipartimento per la giustizia minorile e di comunità; Istat - Detenuti adulti e minori nel sistema penitenziario (E)</t>
  </si>
  <si>
    <t>(a) I dati si riferiscono ai condannati per reati commessi dopo il compimento dei diciotto anni di età.</t>
  </si>
  <si>
    <t>Detenuti presenti</t>
  </si>
  <si>
    <t>Indice di
affolla-
mento 
(c)</t>
  </si>
  <si>
    <t>Di cui: Fem-
mine
(%)</t>
  </si>
  <si>
    <t>Stranieri</t>
  </si>
  <si>
    <t>Tossicodipendenti</t>
  </si>
  <si>
    <t>Lavoranti</t>
  </si>
  <si>
    <t>In % sul totale dei detenuti presenti</t>
  </si>
  <si>
    <t>Fem-
mine
(%)</t>
  </si>
  <si>
    <t>Stra-
nieri 
(%)</t>
  </si>
  <si>
    <t>Lavoranti non alle
dipendenze 
dell'amministra-
zione peniten-
ziaria (%) (a)</t>
  </si>
  <si>
    <t>Lavoranti 
all'esterno 
dell'istituto
(%) (b)</t>
  </si>
  <si>
    <t>2020</t>
  </si>
  <si>
    <t>2021</t>
  </si>
  <si>
    <t>2019</t>
  </si>
  <si>
    <t>2022</t>
  </si>
  <si>
    <t>2023</t>
  </si>
  <si>
    <t>2024 - PER REGIONE</t>
  </si>
  <si>
    <t>Trentino-Alto 
Adige/Südtirol</t>
  </si>
  <si>
    <t>Fonte: Ministero della giustizia – Dipartimento dell’amministrazione penitenziaria; Istat - Detenuti adulti e minori nel sistema penitenziario (E)</t>
  </si>
  <si>
    <t xml:space="preserve">(a) I detenuti possono lavorare alle dipendenze dell'Amministrazione penitenziaria oppure in proprio, per datori di lavoro esterni o cooperative (non alle dipendenze dell'Amministrazione penitenziaria). </t>
  </si>
  <si>
    <t>(b) I detenuti lavorano sia all'interno dell'istituto che all'esterno. In questo caso si tratta di lavoranti all'esterno ex art. 21, legge 354/75 e semiliberi ex art. 48, legge 354/75 impegnati in attività lavorative.</t>
  </si>
  <si>
    <t>(c) Detenuti presenti per 100 posti letto regolamentari.</t>
  </si>
  <si>
    <t>ANNI
REATI
POSIZIONI GIURIDICHE</t>
  </si>
  <si>
    <t>Italiani</t>
  </si>
  <si>
    <t>Di cui: Femmine</t>
  </si>
  <si>
    <t>TIPOLOGIE DI REATI COMMESSI (a)</t>
  </si>
  <si>
    <t xml:space="preserve">Contro la persona </t>
  </si>
  <si>
    <t xml:space="preserve">Contro la famiglia </t>
  </si>
  <si>
    <t>Contro la moralità pubblica 
e il buon costume</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</si>
  <si>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</si>
  <si>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</si>
  <si>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</si>
  <si>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</si>
  <si>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</si>
  <si>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</si>
  <si>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</si>
  <si>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</si>
  <si>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</si>
  <si>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</si>
  <si>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Contro l'ordine pubblico (b)</t>
  </si>
  <si>
    <t>Associazione di tipo mafioso (416bis c.p.)</t>
  </si>
  <si>
    <t>Violazioni delle norme in materia di armi ed esplosivi</t>
  </si>
  <si>
    <t>Violazione delle norme sull'immigrazione</t>
  </si>
  <si>
    <t>Altri delitti</t>
  </si>
  <si>
    <t xml:space="preserve">Contravvenzioni </t>
  </si>
  <si>
    <t>POSIZIONI GIURIDICHE</t>
  </si>
  <si>
    <t>In attesa di primo giudizio (c)</t>
  </si>
  <si>
    <t>Condannati non definitivi: appellanti</t>
  </si>
  <si>
    <t>Condannati non definitivi: ricorrenti</t>
  </si>
  <si>
    <t>Condannati non definitivi: misto (d)</t>
  </si>
  <si>
    <t>Condannati definitivi</t>
  </si>
  <si>
    <t>Sottoposti a misure di sicurezza</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</si>
  <si>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</si>
  <si>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(b) Esclusa l'associazione di tipo mafioso (416bis c.p.).</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</si>
  <si>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</si>
  <si>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</si>
  <si>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</si>
  <si>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ANNI
CLASSI DI ETÀ
PRESA IN CARICO</t>
  </si>
  <si>
    <t>ANNO 2023</t>
  </si>
  <si>
    <t>CLASSI DI ETÀ ALLA PRIMA PRESA IN CARICO (b)</t>
  </si>
  <si>
    <t>14-15 anni</t>
  </si>
  <si>
    <t>16-17 anni</t>
  </si>
  <si>
    <t>18 anni e oltre (a)</t>
  </si>
  <si>
    <t>CLASSI DI ETÀ NELL'ANNO CONSIDERATO (c)</t>
  </si>
  <si>
    <t>PERIODI DI PRESA IN CARICO</t>
  </si>
  <si>
    <t xml:space="preserve">Presi in carico per la prima volta nell'anno </t>
  </si>
  <si>
    <t>Già precedentemente in carico</t>
  </si>
  <si>
    <t>(a) I soggetti che hanno commesso il reato da minorenni rimangono in carico ai Servizi minorili anche dopo il compimento della maggiore età, fino al compimento del venticinquesimo anno di età, sempre che non ricorrano particolari ragioni di sicurezza valutate dal giudice competente, tenuto conto anche delle finalità educative (art.24 D.Lgs.28 luglio 1989 n. 272, come modificato dall’art.5, comma 1, D.L. 26 giugno 2014, n. 92, convertito, con modificazioni, dalla L. 11 agosto 2014, n 117 e, successivamente, dall'art. 9, comma 1, D.Lgs. 2 ottobre 2018, n. 121).</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</si>
  <si>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</si>
  <si>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</si>
  <si>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</si>
  <si>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ANNI
CLASSI DI ETÀ</t>
  </si>
  <si>
    <t>CENTRI DI PRIMA ACCOGLIENZA</t>
  </si>
  <si>
    <t>2024</t>
  </si>
  <si>
    <t>2024 - PER CLASSE DI ETÀ</t>
  </si>
  <si>
    <t>2023 - PER CLASSE DI ETÀ</t>
  </si>
  <si>
    <t>COMUNITÀ</t>
  </si>
  <si>
    <t>ISTITUTI PENALI PER I MINORENNI</t>
  </si>
  <si>
    <t>2023- PER CLASSE DI ETÀ</t>
  </si>
  <si>
    <t>ANNI
MOTIVI</t>
  </si>
  <si>
    <t>2024 - PER MOTIVO</t>
  </si>
  <si>
    <t>2023 - PER MOTIVO</t>
  </si>
  <si>
    <t>Arresto in flagranza</t>
  </si>
  <si>
    <t>Fermo</t>
  </si>
  <si>
    <t>Accompagnamento a seguito di flagranza</t>
  </si>
  <si>
    <t>Ingresso (in area assistita) in attesa di collocamento in comunità</t>
  </si>
  <si>
    <t>Arresto, fermo o accompagnamento</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</si>
  <si>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</si>
  <si>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</si>
  <si>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</si>
  <si>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</si>
  <si>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</si>
  <si>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misure penali di comunità/alternative alla detenzione</t>
  </si>
  <si>
    <t>Applicazione sanzioni sostitutive</t>
  </si>
  <si>
    <t>Applicazione misure di sicurezza</t>
  </si>
  <si>
    <t>Per custodia cautelare</t>
  </si>
  <si>
    <t>Per esecuzione di pena</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</si>
  <si>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</si>
  <si>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TIPOLOGIE DI DELITTO</t>
  </si>
  <si>
    <t>Di cui: femmine</t>
  </si>
  <si>
    <t>Contro il patrimonio</t>
  </si>
  <si>
    <t>Violazione delle disposizioni in materia di stupefacenti</t>
  </si>
  <si>
    <t>Violazione delle disposizioni in materia di armi</t>
  </si>
  <si>
    <t>Resistenza, violenza, oltraggio a pubblico ufficiale</t>
  </si>
  <si>
    <t>(b) Il numero dei delitti è superiore al numero degli ingressi in quanto un minore può essere entrato nella struttura per aver commesso più delitti.</t>
  </si>
  <si>
    <r>
      <t xml:space="preserve">Centri antiviolenza, donne che hanno contattato il centro, donne prese in carico che hanno iniziato un percorso di uscita dalla violenza, attività di formazione e informazione rivolta a soggetti esterni   </t>
    </r>
    <r>
      <rPr>
        <sz val="9"/>
        <color theme="1"/>
        <rFont val="Ariala"/>
      </rPr>
      <t>(a)</t>
    </r>
  </si>
  <si>
    <t>Anno 2023, valori assoluti, per 10.000 donne, valori percentuali sul totale dei Centri antiviolenza</t>
  </si>
  <si>
    <t>Centri antiviolenza</t>
  </si>
  <si>
    <t xml:space="preserve">Donne </t>
  </si>
  <si>
    <t>Attività di sensibilizzazione condotta dai Centri 
antiviolenza sul territorio</t>
  </si>
  <si>
    <t>Per 10.000 donne (a)</t>
  </si>
  <si>
    <t>Donne che hanno contattato il centro</t>
  </si>
  <si>
    <t>Donne in carico</t>
  </si>
  <si>
    <t>Presso le scuole</t>
  </si>
  <si>
    <t>Eventi Culturali/  Prevenzione</t>
  </si>
  <si>
    <t>donne prese in carico nell'anno</t>
  </si>
  <si>
    <t>donne con con figli</t>
  </si>
  <si>
    <t xml:space="preserve">Fonte: Istat, Indagine sui Centri antiviolenza (R) </t>
  </si>
  <si>
    <t>(a) I valori per 10.000 donne si riferiscono alla popolazione media femminile.</t>
  </si>
  <si>
    <t>Case rifugio, posti letto effettivamente utilizzati (a), donne ospitate e numero medio di notti per regione</t>
  </si>
  <si>
    <t>Anno 2023, valori assoluti, per 10.000 donne, numeri medi</t>
  </si>
  <si>
    <r>
      <t>Case rifugio</t>
    </r>
    <r>
      <rPr>
        <sz val="7"/>
        <color theme="1"/>
        <rFont val="Arial"/>
        <family val="2"/>
      </rPr>
      <t xml:space="preserve"> rispondenti</t>
    </r>
  </si>
  <si>
    <t>Numero medio di posti letto effettivamente utilizzati in Casa rifugio</t>
  </si>
  <si>
    <t>Donne ospitate</t>
  </si>
  <si>
    <t>Numero di pernottamenti medi per donna</t>
  </si>
  <si>
    <t>Per 10.000 donne (b)</t>
  </si>
  <si>
    <t>Totale (c)</t>
  </si>
  <si>
    <t>Accolte durante l'anno</t>
  </si>
  <si>
    <t xml:space="preserve">Fonte: Istat, Indagine sulle Case rifugio (R) </t>
  </si>
  <si>
    <t>(a) I posti letto effettivamente utilizzati sono posti letto effettivamente attivati, che differiscono dal numero di posti letto autorizzati in base alla normativa regionale, perché comprendono anche quelli in emergenza e quelli predisposti per l’accoglienza di minori.</t>
  </si>
  <si>
    <t>(b) I valori per 10.000 donne si riferiscono alla popolazione media femminile.</t>
  </si>
  <si>
    <t>(c) Il totale delle donne ospitate è dato dalla somma delle donne presenti nella Casa rifugio all'inizio dell'anno e le donne accolte durante l'anno.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</si>
</sst>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1" formatCode="_-* #,##0_-;\-* #,##0_-;_-* &quot;-&quot;_-;_-@_-"/>
    <numFmt numFmtId="43" formatCode="_-* #,##0.00_-;\-* #,##0.00_-;_-* &quot;-&quot;??_-;_-@_-"/>
    <numFmt numFmtId="164" formatCode="#,##0.0"/>
    <numFmt numFmtId="165" formatCode="0.0"/>
    <numFmt numFmtId="166" formatCode="_-* #,##0.0_-;\-* #,##0.0_-;_-* &quot;-&quot;?_-;_-@_-"/>
    <numFmt numFmtId="167" formatCode="_-* #,##0;\-* #,##0;_-* &quot;-&quot;;_-@"/>
    <numFmt numFmtId="168" formatCode="General_)"/>
    <numFmt numFmtId="169" formatCode="_-* #,##0.0;\-* #,##0.0;_-* &quot;-&quot;;_-@"/>
    <numFmt numFmtId="170" formatCode="#,##0.000"/>
    <numFmt numFmtId="171" formatCode="_-[$€-2]\ * #,##0.00_-;\-[$€-2]\ * #,##0.00_-;_-[$€-2]\ * &quot;-&quot;??_-"/>
    <numFmt numFmtId="172" formatCode="_-@"/>
    <numFmt numFmtId="173" formatCode="_-* #,##0_-_-_-;[Blue]_-* \-#,##0_-_-_-;_-* &quot;-&quot;_-_-_-;[Red]_-@_-_-_-"/>
    <numFmt numFmtId="174" formatCode="_-&quot;L.&quot;\ * #,##0_-;\-&quot;L.&quot;\ * #,##0_-;_-&quot;L.&quot;\ * &quot;-&quot;_-;_-@_-"/>
    <numFmt numFmtId="175" formatCode="#,##0_-"/>
    <numFmt numFmtId="176" formatCode="#,##0.0_-"/>
    <numFmt numFmtId="177" formatCode="0.0%"/>
    <numFmt numFmtId="178" formatCode="_-* #,##0.00;\-* #,##0.00;_-* &quot;-&quot;;_-@"/>
    <numFmt numFmtId="179" formatCode="0_ ;\-0\ "/>
    <numFmt numFmtId="180" formatCode="0.0_ ;\-0.0\ "/>
    <numFmt numFmtId="181" formatCode="#,###;\-#,###;0"/>
    <numFmt numFmtId="182" formatCode="_-* #,##0.0_-;\-* #,##0.0_-;_-* &quot;-&quot;_-;_-@_-"/>
    <numFmt numFmtId="183" formatCode="#,##0.0_ ;\-#,##0.0\ "/>
    <numFmt numFmtId="184" formatCode="0;\-0;\-"/>
    <numFmt numFmtId="185" formatCode="0.0;\-0.0;\-"/>
    <numFmt numFmtId="186" formatCode="_-* #,##0.00\ _€_-;\-* #,##0.00\ _€_-;_-* &quot;-&quot;??\ _€_-;_-@_-"/>
    <numFmt numFmtId="187" formatCode="###########0"/>
    <numFmt numFmtId="188" formatCode="#####0.00000"/>
    <numFmt numFmtId="189" formatCode="0.000"/>
  </numFmts>
  <fonts count="86">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sz val="6"/>
      <name val="Arial"/>
      <family val="2"/>
    </font>
    <font>
      <sz val="11"/>
      <color theme="0"/>
      <name val="Arial Black"/>
      <family val="2"/>
    </font>
    <font>
      <u/>
      <sz val="11"/>
      <color theme="10"/>
      <name val="Calibri"/>
      <family val="2"/>
    </font>
    <font>
      <u/>
      <sz val="10"/>
      <color theme="10"/>
      <name val="Arial"/>
      <family val="2"/>
    </font>
    <font>
      <b/>
      <sz val="9"/>
      <color theme="1"/>
      <name val="Arial"/>
      <family val="2"/>
    </font>
    <font>
      <sz val="9"/>
      <color theme="1"/>
      <name val="Calibri"/>
      <family val="2"/>
      <scheme val="minor"/>
    </font>
    <font>
      <b/>
      <sz val="9"/>
      <color theme="1"/>
      <name val="Ariala"/>
    </font>
    <font>
      <sz val="9"/>
      <color theme="1"/>
      <name val="Ariala"/>
    </font>
    <font>
      <b/>
      <sz val="9"/>
      <color rgb="FF000000"/>
      <name val="Arial"/>
      <family val="2"/>
    </font>
    <font>
      <b/>
      <sz val="10"/>
      <color rgb="FF000000"/>
      <name val="Arial"/>
      <family val="2"/>
    </font>
    <font>
      <sz val="7"/>
      <color theme="1"/>
      <name val="Arial"/>
      <family val="2"/>
    </font>
    <font>
      <sz val="7"/>
      <color rgb="FF000000"/>
      <name val="Arial"/>
      <family val="2"/>
    </font>
    <font>
      <i/>
      <sz val="7"/>
      <color theme="1"/>
      <name val="Arial"/>
      <family val="2"/>
    </font>
    <font>
      <i/>
      <sz val="7"/>
      <color rgb="FF000000"/>
      <name val="Arial"/>
      <family val="2"/>
    </font>
    <font>
      <b/>
      <sz val="7"/>
      <color theme="1"/>
      <name val="Arial"/>
      <family val="2"/>
    </font>
    <font>
      <i/>
      <sz val="10"/>
      <color theme="1"/>
      <name val="Arial"/>
      <family val="2"/>
    </font>
    <font>
      <sz val="11"/>
      <name val="Calibri"/>
      <family val="2"/>
      <scheme val="minor"/>
    </font>
    <font>
      <sz val="11"/>
      <color rgb="FF707070"/>
      <name val="Calibri"/>
      <family val="2"/>
      <scheme val="minor"/>
    </font>
    <font>
      <b/>
      <sz val="7"/>
      <color rgb="FF000000"/>
      <name val="Arial"/>
      <family val="2"/>
    </font>
    <font>
      <b/>
      <sz val="11"/>
      <color theme="1"/>
      <name val="Calibri"/>
      <family val="2"/>
      <scheme val="minor"/>
    </font>
    <font>
      <b/>
      <sz val="10"/>
      <name val="Arial"/>
      <family val="2"/>
    </font>
    <font>
      <sz val="8"/>
      <color theme="1"/>
      <name val="Calibri"/>
      <family val="2"/>
      <scheme val="minor"/>
    </font>
    <font>
      <sz val="10"/>
      <color indexed="10"/>
      <name val="Arial"/>
      <family val="2"/>
    </font>
    <font>
      <b/>
      <sz val="8"/>
      <name val="Arial"/>
      <family val="2"/>
    </font>
    <font>
      <i/>
      <sz val="6"/>
      <name val="Arial"/>
      <family val="2"/>
    </font>
    <font>
      <b/>
      <sz val="6"/>
      <name val="Arial"/>
      <family val="2"/>
    </font>
    <font>
      <sz val="10"/>
      <color rgb="FFC00000"/>
      <name val="Arial"/>
      <family val="2"/>
    </font>
    <font>
      <sz val="9"/>
      <color rgb="FF000000"/>
      <name val="Calibri"/>
      <family val="2"/>
    </font>
    <font>
      <sz val="11"/>
      <color theme="1"/>
      <name val="Calibri"/>
      <family val="2"/>
    </font>
    <font>
      <sz val="11"/>
      <color rgb="FF707070"/>
      <name val="Calibri"/>
      <family val="2"/>
    </font>
    <font>
      <sz val="11"/>
      <name val="Calibri"/>
      <family val="2"/>
    </font>
    <font>
      <sz val="7"/>
      <color theme="1"/>
      <name val="Calibri"/>
      <family val="2"/>
      <scheme val="minor"/>
    </font>
    <font>
      <b/>
      <sz val="7"/>
      <color theme="1"/>
      <name val="Calibri"/>
      <family val="2"/>
      <scheme val="minor"/>
    </font>
    <font>
      <b/>
      <sz val="9"/>
      <color theme="1"/>
      <name val="Calibri"/>
      <family val="2"/>
      <scheme val="minor"/>
    </font>
    <font>
      <sz val="7"/>
      <name val="Calibri"/>
      <family val="2"/>
      <scheme val="minor"/>
    </font>
    <font>
      <sz val="9"/>
      <color theme="1"/>
      <name val="Arial"/>
      <family val="2"/>
    </font>
    <font>
      <sz val="11"/>
      <color theme="1"/>
      <name val="Arial"/>
      <family val="2"/>
    </font>
    <font>
      <i/>
      <sz val="7"/>
      <color theme="1"/>
      <name val="Calibri"/>
      <family val="2"/>
      <scheme val="minor"/>
    </font>
    <font>
      <b/>
      <sz val="9"/>
      <color rgb="FFFF0000"/>
      <name val="Arial Black"/>
      <family val="2"/>
    </font>
  </fonts>
  <fills count="40">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rgb="FFA12742"/>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2">
    <border>
      <left/>
      <right/>
      <top/>
      <bottom/>
      <diagonal/>
    </border>
    <border>
      <left style="hair">
        <color auto="1"/>
      </left>
      <right style="hair">
        <color auto="1"/>
      </right>
      <top/>
      <bottom/>
      <diagonal/>
    </border>
    <border>
      <left/>
      <right/>
      <top/>
      <bottom style="hair">
        <color auto="1"/>
      </bottom>
      <diagonal/>
    </border>
    <border>
      <left/>
      <right/>
      <top/>
      <bottom style="hair">
        <color indexed="21"/>
      </bottom>
      <diagonal/>
    </border>
    <border>
      <left style="thin">
        <color auto="1"/>
      </left>
      <right style="thin">
        <color auto="1"/>
      </right>
      <top style="thin">
        <color auto="1"/>
      </top>
      <bottom style="thin">
        <color auto="1"/>
      </bottom>
      <diagonal/>
    </border>
    <border>
      <left style="thin">
        <color indexed="21"/>
      </left>
      <right style="thin">
        <color indexed="21"/>
      </right>
      <top style="thin">
        <color indexed="21"/>
      </top>
      <bottom style="thin">
        <color indexed="21"/>
      </bottom>
      <diagonal/>
    </border>
    <border>
      <left style="hair">
        <color auto="1"/>
      </left>
      <right style="hair">
        <color auto="1"/>
      </right>
      <top style="hair">
        <color auto="1"/>
      </top>
      <bottom style="hair">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diagonal/>
    </border>
    <border>
      <left/>
      <right/>
      <top style="thin">
        <color rgb="FFC00000"/>
      </top>
      <bottom style="thin">
        <color rgb="FFFF0000"/>
      </bottom>
      <diagonal/>
    </border>
    <border>
      <left style="thin">
        <color rgb="FFC1C1C1"/>
      </left>
      <right style="thin">
        <color rgb="FFC1C1C1"/>
      </right>
      <top style="thin">
        <color rgb="FFC1C1C1"/>
      </top>
      <bottom style="thin">
        <color indexed="64"/>
      </bottom>
      <diagonal/>
    </border>
    <border>
      <left/>
      <right/>
      <top style="thin">
        <color auto="1"/>
      </top>
      <bottom/>
      <diagonal/>
    </border>
    <border>
      <left/>
      <right/>
      <top style="thin">
        <color auto="1"/>
      </top>
      <bottom style="thin">
        <color auto="1"/>
      </bottom>
      <diagonal/>
    </border>
  </borders>
  <cellStyleXfs count="111">
    <xf numFmtId="0" fontId="0"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8" applyNumberFormat="0" applyAlignment="0" applyProtection="0"/>
    <xf numFmtId="0" fontId="29" fillId="0" borderId="9" applyNumberFormat="0" applyFill="0" applyAlignment="0" applyProtection="0"/>
    <xf numFmtId="0" fontId="30" fillId="24" borderId="10"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171" fontId="14" fillId="0" borderId="0" applyFont="0" applyFill="0" applyBorder="0" applyAlignment="0" applyProtection="0"/>
    <xf numFmtId="172" fontId="15" fillId="2" borderId="1">
      <alignment horizontal="left" vertical="center" wrapText="1"/>
    </xf>
    <xf numFmtId="0" fontId="33" fillId="31" borderId="8" applyNumberFormat="0" applyAlignment="0" applyProtection="0"/>
    <xf numFmtId="173" fontId="15" fillId="2" borderId="1" applyFont="0" applyFill="0" applyProtection="0">
      <alignment horizontal="right" vertical="center"/>
      <protection locked="0"/>
    </xf>
    <xf numFmtId="41" fontId="5" fillId="0" borderId="0" applyFont="0" applyFill="0" applyBorder="0" applyAlignment="0" applyProtection="0"/>
    <xf numFmtId="0" fontId="2" fillId="0" borderId="0" applyFill="0" applyBorder="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3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5" fillId="0" borderId="0"/>
    <xf numFmtId="0" fontId="26" fillId="0" borderId="0"/>
    <xf numFmtId="0" fontId="16" fillId="0" borderId="0"/>
    <xf numFmtId="0" fontId="25" fillId="0" borderId="0"/>
    <xf numFmtId="0" fontId="25" fillId="0" borderId="0"/>
    <xf numFmtId="0" fontId="25" fillId="0" borderId="0"/>
    <xf numFmtId="0" fontId="19" fillId="0" borderId="0"/>
    <xf numFmtId="0" fontId="5" fillId="0" borderId="0"/>
    <xf numFmtId="0" fontId="35" fillId="0" borderId="0"/>
    <xf numFmtId="0" fontId="25" fillId="0" borderId="0"/>
    <xf numFmtId="0" fontId="25" fillId="0" borderId="0"/>
    <xf numFmtId="0" fontId="25" fillId="0" borderId="0"/>
    <xf numFmtId="0" fontId="5" fillId="0" borderId="0"/>
    <xf numFmtId="0" fontId="24" fillId="0" borderId="0"/>
    <xf numFmtId="0" fontId="5" fillId="0" borderId="0"/>
    <xf numFmtId="0" fontId="5" fillId="0" borderId="0"/>
    <xf numFmtId="168" fontId="10" fillId="0" borderId="0"/>
    <xf numFmtId="49" fontId="5" fillId="0" borderId="0"/>
    <xf numFmtId="49" fontId="5" fillId="0" borderId="0"/>
    <xf numFmtId="49" fontId="5" fillId="0" borderId="0"/>
    <xf numFmtId="49" fontId="5" fillId="0" borderId="0"/>
    <xf numFmtId="0" fontId="26" fillId="33" borderId="11" applyNumberFormat="0" applyFont="0" applyAlignment="0" applyProtection="0"/>
    <xf numFmtId="0" fontId="5" fillId="0" borderId="0" applyFont="0" applyFill="0" applyBorder="0" applyAlignment="0" applyProtection="0"/>
    <xf numFmtId="0" fontId="36" fillId="23" borderId="12"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7" fillId="0" borderId="0"/>
    <xf numFmtId="49" fontId="20" fillId="0" borderId="2">
      <alignment vertical="center" wrapText="1"/>
    </xf>
    <xf numFmtId="49" fontId="21" fillId="0" borderId="3">
      <alignment vertical="center" wrapText="1"/>
    </xf>
    <xf numFmtId="49" fontId="21" fillId="0" borderId="3">
      <alignment vertical="center" wrapText="1"/>
    </xf>
    <xf numFmtId="175" fontId="20" fillId="0" borderId="2">
      <alignment horizontal="right" vertical="center"/>
    </xf>
    <xf numFmtId="0" fontId="22" fillId="3" borderId="4">
      <alignment horizontal="center" vertical="center" wrapText="1"/>
    </xf>
    <xf numFmtId="49" fontId="23" fillId="3" borderId="5">
      <alignment horizontal="center" vertical="center" wrapText="1"/>
    </xf>
    <xf numFmtId="49" fontId="18" fillId="4" borderId="6" applyFont="0" applyFill="0">
      <alignment horizontal="center" vertical="center" wrapText="1"/>
    </xf>
    <xf numFmtId="0" fontId="37" fillId="0" borderId="0" applyNumberFormat="0" applyFill="0" applyBorder="0" applyAlignment="0" applyProtection="0"/>
    <xf numFmtId="0" fontId="38" fillId="0" borderId="0" applyNumberFormat="0" applyFill="0" applyBorder="0" applyAlignment="0" applyProtection="0"/>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2" fillId="0" borderId="16" applyNumberFormat="0" applyFill="0" applyAlignment="0" applyProtection="0"/>
    <xf numFmtId="0" fontId="43" fillId="34" borderId="0" applyNumberFormat="0" applyBorder="0" applyAlignment="0" applyProtection="0"/>
    <xf numFmtId="0" fontId="44" fillId="35" borderId="0" applyNumberFormat="0" applyBorder="0" applyAlignment="0" applyProtection="0"/>
    <xf numFmtId="174" fontId="5" fillId="0" borderId="0" applyFont="0" applyFill="0" applyBorder="0" applyAlignment="0" applyProtection="0"/>
    <xf numFmtId="0" fontId="5" fillId="0" borderId="0"/>
    <xf numFmtId="176" fontId="21" fillId="0" borderId="3">
      <alignment horizontal="right" vertical="center"/>
    </xf>
    <xf numFmtId="0" fontId="5" fillId="0" borderId="0"/>
    <xf numFmtId="0" fontId="5" fillId="0" borderId="0"/>
    <xf numFmtId="0" fontId="25"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0" fontId="49" fillId="0" borderId="0" applyNumberFormat="0" applyFill="0" applyBorder="0" applyAlignment="0" applyProtection="0">
      <alignment vertical="top"/>
      <protection locked="0"/>
    </xf>
    <xf numFmtId="0" fontId="5" fillId="0" borderId="0"/>
    <xf numFmtId="9" fontId="25" fillId="0" borderId="0" applyFont="0" applyFill="0" applyBorder="0" applyAlignment="0" applyProtection="0"/>
    <xf numFmtId="43" fontId="25" fillId="0" borderId="0" applyFont="0" applyFill="0" applyBorder="0" applyAlignment="0" applyProtection="0"/>
  </cellStyleXfs>
  <cellXfs count="772">
    <xf numFmtId="0" fontId="0" fillId="0" borderId="0" xfId="0"/>
    <xf numFmtId="169" fontId="4" fillId="0" borderId="0" xfId="71" applyNumberFormat="1" applyFont="1" applyAlignment="1">
      <alignment horizontal="right" vertical="center"/>
    </xf>
    <xf numFmtId="0" fontId="4" fillId="0" borderId="0" xfId="70" applyFont="1" applyAlignment="1">
      <alignment vertical="center"/>
    </xf>
    <xf numFmtId="167" fontId="4" fillId="0" borderId="0" xfId="71" applyNumberFormat="1" applyFont="1" applyAlignment="1">
      <alignment horizontal="right" vertical="center"/>
    </xf>
    <xf numFmtId="167" fontId="8" fillId="0" borderId="0" xfId="71" applyNumberFormat="1" applyFont="1" applyAlignment="1">
      <alignment horizontal="right" vertical="center"/>
    </xf>
    <xf numFmtId="167" fontId="3" fillId="0" borderId="0" xfId="71" applyNumberFormat="1" applyFont="1" applyAlignment="1">
      <alignment horizontal="right" vertical="center"/>
    </xf>
    <xf numFmtId="169" fontId="3" fillId="0" borderId="0" xfId="71" applyNumberFormat="1" applyFont="1" applyAlignment="1">
      <alignment horizontal="right" vertical="center"/>
    </xf>
    <xf numFmtId="0" fontId="6" fillId="0" borderId="0" xfId="35" applyFont="1" applyFill="1" applyAlignment="1">
      <alignment vertical="center"/>
    </xf>
    <xf numFmtId="49" fontId="4" fillId="0" borderId="0" xfId="73" applyFont="1" applyAlignment="1">
      <alignment vertical="center"/>
    </xf>
    <xf numFmtId="49" fontId="4" fillId="0" borderId="0" xfId="73" quotePrefix="1" applyFont="1"/>
    <xf numFmtId="49" fontId="4" fillId="0" borderId="0" xfId="73" applyFont="1"/>
    <xf numFmtId="49" fontId="6" fillId="0" borderId="0" xfId="73" quotePrefix="1" applyFont="1" applyAlignment="1">
      <alignment horizontal="left" vertical="center" wrapText="1"/>
    </xf>
    <xf numFmtId="49" fontId="4" fillId="0" borderId="0" xfId="73" quotePrefix="1" applyFont="1" applyAlignment="1">
      <alignment horizontal="left" vertical="center"/>
    </xf>
    <xf numFmtId="49" fontId="4" fillId="0" borderId="0" xfId="75" applyFont="1" applyAlignment="1">
      <alignment vertical="center"/>
    </xf>
    <xf numFmtId="49" fontId="4" fillId="0" borderId="0" xfId="75" applyFont="1" applyAlignment="1">
      <alignment horizontal="centerContinuous" vertical="center"/>
    </xf>
    <xf numFmtId="49" fontId="4" fillId="0" borderId="7" xfId="75" applyFont="1" applyBorder="1" applyAlignment="1">
      <alignment horizontal="right" vertical="top"/>
    </xf>
    <xf numFmtId="49" fontId="3" fillId="0" borderId="0" xfId="75" applyFont="1" applyAlignment="1">
      <alignment vertical="center"/>
    </xf>
    <xf numFmtId="49" fontId="4" fillId="0" borderId="0" xfId="75" applyFont="1" applyAlignment="1">
      <alignment horizontal="right" vertical="center"/>
    </xf>
    <xf numFmtId="49" fontId="4" fillId="0" borderId="0" xfId="73" quotePrefix="1" applyFont="1" applyAlignment="1">
      <alignment vertical="center"/>
    </xf>
    <xf numFmtId="49" fontId="6" fillId="0" borderId="0" xfId="73" quotePrefix="1" applyFont="1" applyAlignment="1">
      <alignment horizontal="left" vertical="center"/>
    </xf>
    <xf numFmtId="49" fontId="4" fillId="0" borderId="7" xfId="75" applyFont="1" applyBorder="1" applyAlignment="1">
      <alignment vertical="center"/>
    </xf>
    <xf numFmtId="49" fontId="4" fillId="0" borderId="7" xfId="75" applyFont="1" applyBorder="1" applyAlignment="1">
      <alignment horizontal="right" vertical="center"/>
    </xf>
    <xf numFmtId="1" fontId="4" fillId="0" borderId="7" xfId="75" applyNumberFormat="1" applyFont="1" applyBorder="1" applyAlignment="1">
      <alignment vertical="center"/>
    </xf>
    <xf numFmtId="3" fontId="4" fillId="0" borderId="0" xfId="75" applyNumberFormat="1" applyFont="1" applyAlignment="1">
      <alignment vertical="center"/>
    </xf>
    <xf numFmtId="164" fontId="4" fillId="0" borderId="0" xfId="75" applyNumberFormat="1" applyFont="1" applyAlignment="1">
      <alignment vertical="center"/>
    </xf>
    <xf numFmtId="49" fontId="4" fillId="0" borderId="0" xfId="75" applyFont="1" applyAlignment="1">
      <alignment vertical="center" wrapText="1"/>
    </xf>
    <xf numFmtId="3" fontId="3" fillId="0" borderId="0" xfId="75" applyNumberFormat="1" applyFont="1" applyAlignment="1">
      <alignment vertical="center"/>
    </xf>
    <xf numFmtId="170" fontId="4" fillId="0" borderId="0" xfId="75" applyNumberFormat="1" applyFont="1" applyAlignment="1">
      <alignment vertical="center"/>
    </xf>
    <xf numFmtId="9" fontId="4" fillId="0" borderId="0" xfId="79" applyFont="1" applyFill="1" applyAlignment="1">
      <alignment vertical="center"/>
    </xf>
    <xf numFmtId="49" fontId="4" fillId="0" borderId="0" xfId="75" quotePrefix="1" applyFont="1" applyAlignment="1">
      <alignment horizontal="left" vertical="center"/>
    </xf>
    <xf numFmtId="3" fontId="4" fillId="0" borderId="0" xfId="74" applyNumberFormat="1" applyFont="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49" fontId="4" fillId="0" borderId="0" xfId="75" quotePrefix="1" applyFont="1" applyAlignment="1">
      <alignment horizontal="left" vertical="center" wrapText="1"/>
    </xf>
    <xf numFmtId="167" fontId="6" fillId="0" borderId="0" xfId="37" applyNumberFormat="1" applyFont="1" applyFill="1" applyBorder="1" applyAlignment="1" applyProtection="1">
      <alignment vertical="center"/>
    </xf>
    <xf numFmtId="169" fontId="6" fillId="0" borderId="0" xfId="37" applyNumberFormat="1" applyFont="1" applyFill="1" applyBorder="1" applyAlignment="1" applyProtection="1">
      <alignment vertical="center"/>
    </xf>
    <xf numFmtId="167" fontId="11" fillId="0" borderId="0" xfId="37" applyNumberFormat="1" applyFont="1" applyFill="1" applyBorder="1" applyAlignment="1" applyProtection="1">
      <alignment vertical="center"/>
    </xf>
    <xf numFmtId="169" fontId="11" fillId="0" borderId="0" xfId="37" applyNumberFormat="1" applyFont="1" applyFill="1" applyBorder="1" applyAlignment="1" applyProtection="1">
      <alignment vertical="center"/>
    </xf>
    <xf numFmtId="167" fontId="7" fillId="0" borderId="0" xfId="37" applyNumberFormat="1" applyFont="1" applyFill="1" applyBorder="1" applyAlignment="1" applyProtection="1">
      <alignment vertical="center"/>
    </xf>
    <xf numFmtId="169" fontId="7" fillId="0" borderId="0" xfId="37" applyNumberFormat="1" applyFont="1" applyFill="1" applyBorder="1" applyAlignment="1" applyProtection="1">
      <alignment vertical="center"/>
    </xf>
    <xf numFmtId="49" fontId="4" fillId="0" borderId="7" xfId="75" quotePrefix="1" applyFont="1" applyBorder="1" applyAlignment="1">
      <alignment horizontal="right" vertical="top" wrapText="1"/>
    </xf>
    <xf numFmtId="0" fontId="5" fillId="0" borderId="0" xfId="53"/>
    <xf numFmtId="0" fontId="45" fillId="0" borderId="0" xfId="53" applyFont="1"/>
    <xf numFmtId="0" fontId="1" fillId="0" borderId="0" xfId="53" applyFont="1" applyAlignment="1">
      <alignment vertical="center"/>
    </xf>
    <xf numFmtId="0" fontId="2" fillId="0" borderId="0" xfId="53" applyFont="1" applyAlignment="1">
      <alignment vertical="center"/>
    </xf>
    <xf numFmtId="0" fontId="4" fillId="0" borderId="0" xfId="53" applyFont="1"/>
    <xf numFmtId="0" fontId="3" fillId="0" borderId="0" xfId="53" applyFont="1" applyAlignment="1">
      <alignment vertical="center"/>
    </xf>
    <xf numFmtId="0" fontId="2" fillId="0" borderId="0" xfId="53" quotePrefix="1" applyFont="1" applyAlignment="1">
      <alignment horizontal="left" vertical="center"/>
    </xf>
    <xf numFmtId="49" fontId="46" fillId="0" borderId="0" xfId="75" applyFont="1" applyAlignment="1">
      <alignment vertical="center"/>
    </xf>
    <xf numFmtId="0" fontId="0" fillId="0" borderId="0" xfId="0" applyAlignment="1">
      <alignment vertical="center"/>
    </xf>
    <xf numFmtId="0" fontId="4" fillId="0" borderId="0" xfId="53" applyFont="1" applyAlignment="1">
      <alignment horizontal="right" vertical="top" wrapText="1"/>
    </xf>
    <xf numFmtId="0" fontId="4" fillId="0" borderId="7" xfId="53" quotePrefix="1" applyFont="1" applyBorder="1" applyAlignment="1">
      <alignment horizontal="right" vertical="top" wrapText="1"/>
    </xf>
    <xf numFmtId="0" fontId="4" fillId="0" borderId="0" xfId="53" applyFont="1" applyAlignment="1">
      <alignment horizontal="left" vertical="center"/>
    </xf>
    <xf numFmtId="0" fontId="4" fillId="0" borderId="0" xfId="53" quotePrefix="1" applyFont="1" applyAlignment="1">
      <alignment vertical="center"/>
    </xf>
    <xf numFmtId="0" fontId="4" fillId="0" borderId="0" xfId="53" applyFont="1" applyAlignment="1">
      <alignment vertical="center"/>
    </xf>
    <xf numFmtId="0" fontId="8" fillId="0" borderId="0" xfId="53" applyFont="1" applyAlignment="1">
      <alignment vertical="center"/>
    </xf>
    <xf numFmtId="0" fontId="4" fillId="0" borderId="7" xfId="53" applyFont="1" applyBorder="1"/>
    <xf numFmtId="0" fontId="6" fillId="0" borderId="0" xfId="35" quotePrefix="1" applyFont="1" applyFill="1" applyAlignment="1">
      <alignment horizontal="left" vertical="center"/>
    </xf>
    <xf numFmtId="0" fontId="1" fillId="0" borderId="0" xfId="53" quotePrefix="1" applyFont="1" applyAlignment="1">
      <alignment horizontal="left" vertical="center"/>
    </xf>
    <xf numFmtId="169" fontId="8" fillId="0" borderId="0" xfId="71" applyNumberFormat="1" applyFont="1" applyAlignment="1">
      <alignment horizontal="right" vertical="center"/>
    </xf>
    <xf numFmtId="167" fontId="4" fillId="0" borderId="0" xfId="37" applyNumberFormat="1" applyFont="1" applyFill="1" applyBorder="1" applyAlignment="1" applyProtection="1">
      <alignment vertical="center"/>
    </xf>
    <xf numFmtId="167" fontId="3" fillId="0" borderId="0" xfId="37" applyNumberFormat="1" applyFont="1" applyFill="1" applyBorder="1" applyAlignment="1" applyProtection="1">
      <alignment vertical="center"/>
    </xf>
    <xf numFmtId="0" fontId="4" fillId="0" borderId="0" xfId="104" applyFont="1"/>
    <xf numFmtId="0" fontId="4" fillId="0" borderId="0" xfId="104" applyFont="1" applyAlignment="1">
      <alignment vertical="center"/>
    </xf>
    <xf numFmtId="49" fontId="3" fillId="0" borderId="0" xfId="70" applyNumberFormat="1" applyFont="1" applyAlignment="1">
      <alignment horizontal="left" vertical="center"/>
    </xf>
    <xf numFmtId="0" fontId="8" fillId="0" borderId="0" xfId="70" applyFont="1" applyAlignment="1">
      <alignment vertical="center"/>
    </xf>
    <xf numFmtId="0" fontId="4" fillId="0" borderId="0" xfId="70" applyFont="1" applyAlignment="1">
      <alignment horizontal="right"/>
    </xf>
    <xf numFmtId="49" fontId="4" fillId="0" borderId="0" xfId="70" quotePrefix="1" applyNumberFormat="1" applyFont="1" applyAlignment="1">
      <alignment vertical="center"/>
    </xf>
    <xf numFmtId="3" fontId="3" fillId="0" borderId="0" xfId="70" applyNumberFormat="1" applyFont="1" applyAlignment="1">
      <alignment horizontal="right" vertical="center"/>
    </xf>
    <xf numFmtId="167" fontId="4" fillId="0" borderId="0" xfId="71" applyNumberFormat="1" applyFont="1" applyAlignment="1">
      <alignment horizontal="right"/>
    </xf>
    <xf numFmtId="3" fontId="4" fillId="0" borderId="0" xfId="70" applyNumberFormat="1" applyFont="1" applyAlignment="1">
      <alignment horizontal="right" vertical="center"/>
    </xf>
    <xf numFmtId="3" fontId="5" fillId="0" borderId="0" xfId="53" applyNumberFormat="1"/>
    <xf numFmtId="165" fontId="5" fillId="0" borderId="0" xfId="53" applyNumberFormat="1"/>
    <xf numFmtId="164" fontId="1" fillId="0" borderId="0" xfId="53" applyNumberFormat="1" applyFont="1" applyAlignment="1">
      <alignment vertical="center"/>
    </xf>
    <xf numFmtId="165" fontId="2" fillId="0" borderId="0" xfId="53" applyNumberFormat="1" applyFont="1" applyAlignment="1">
      <alignment vertical="center"/>
    </xf>
    <xf numFmtId="0" fontId="2" fillId="0" borderId="0" xfId="70" applyFont="1" applyAlignment="1">
      <alignment vertical="center"/>
    </xf>
    <xf numFmtId="0" fontId="4" fillId="0" borderId="0" xfId="49" applyFont="1" applyAlignment="1">
      <alignment vertical="center" wrapText="1"/>
    </xf>
    <xf numFmtId="0" fontId="4" fillId="0" borderId="0" xfId="49" applyFont="1" applyAlignment="1">
      <alignment horizontal="right" vertical="center"/>
    </xf>
    <xf numFmtId="0" fontId="4" fillId="0" borderId="0" xfId="49" applyFont="1" applyAlignment="1">
      <alignment horizontal="right" vertical="center" wrapText="1"/>
    </xf>
    <xf numFmtId="0" fontId="4" fillId="0" borderId="0" xfId="49" applyFont="1" applyAlignment="1">
      <alignment vertical="center"/>
    </xf>
    <xf numFmtId="0" fontId="47" fillId="0" borderId="0" xfId="49" applyFont="1" applyAlignment="1">
      <alignment vertical="center"/>
    </xf>
    <xf numFmtId="165" fontId="47" fillId="0" borderId="0" xfId="49" applyNumberFormat="1" applyFont="1" applyAlignment="1">
      <alignment vertical="center"/>
    </xf>
    <xf numFmtId="3" fontId="4" fillId="0" borderId="0" xfId="49" applyNumberFormat="1" applyFont="1" applyAlignment="1">
      <alignment horizontal="right" vertical="center" wrapText="1"/>
    </xf>
    <xf numFmtId="177" fontId="4" fillId="0" borderId="0" xfId="49" applyNumberFormat="1" applyFont="1" applyAlignment="1">
      <alignment vertical="center"/>
    </xf>
    <xf numFmtId="0" fontId="4" fillId="0" borderId="0" xfId="49" quotePrefix="1" applyFont="1" applyAlignment="1">
      <alignment vertical="center"/>
    </xf>
    <xf numFmtId="0" fontId="3" fillId="0" borderId="0" xfId="49" applyFont="1" applyAlignment="1">
      <alignment horizontal="right" vertical="center"/>
    </xf>
    <xf numFmtId="0" fontId="4" fillId="0" borderId="0" xfId="53" applyFont="1" applyAlignment="1">
      <alignment horizontal="left" vertical="center" wrapText="1"/>
    </xf>
    <xf numFmtId="0" fontId="4" fillId="0" borderId="0" xfId="70" applyFont="1" applyAlignment="1">
      <alignment vertical="center" wrapText="1"/>
    </xf>
    <xf numFmtId="167" fontId="5" fillId="0" borderId="0" xfId="53" applyNumberFormat="1"/>
    <xf numFmtId="169" fontId="5" fillId="0" borderId="0" xfId="53" applyNumberFormat="1"/>
    <xf numFmtId="166" fontId="5" fillId="0" borderId="0" xfId="53" applyNumberFormat="1"/>
    <xf numFmtId="167" fontId="1" fillId="0" borderId="0" xfId="53" applyNumberFormat="1" applyFont="1"/>
    <xf numFmtId="169" fontId="2" fillId="0" borderId="0" xfId="53" applyNumberFormat="1" applyFont="1" applyAlignment="1">
      <alignment vertical="center"/>
    </xf>
    <xf numFmtId="49" fontId="4" fillId="0" borderId="0" xfId="73" applyFont="1" applyAlignment="1">
      <alignment horizontal="center" vertical="center" wrapText="1"/>
    </xf>
    <xf numFmtId="49" fontId="4" fillId="0" borderId="0" xfId="73" applyFont="1" applyAlignment="1">
      <alignment horizontal="center" vertical="top" wrapText="1"/>
    </xf>
    <xf numFmtId="49" fontId="4" fillId="0" borderId="0" xfId="73" applyFont="1" applyAlignment="1">
      <alignment horizontal="center" vertical="top"/>
    </xf>
    <xf numFmtId="0" fontId="4" fillId="0" borderId="7" xfId="53" applyFont="1" applyBorder="1" applyAlignment="1">
      <alignment horizontal="right" vertical="top"/>
    </xf>
    <xf numFmtId="49" fontId="12" fillId="0" borderId="0" xfId="73" applyFont="1" applyAlignment="1">
      <alignment vertical="center"/>
    </xf>
    <xf numFmtId="0" fontId="3" fillId="0" borderId="0" xfId="70" applyFont="1" applyAlignment="1">
      <alignment vertical="center"/>
    </xf>
    <xf numFmtId="49" fontId="13" fillId="0" borderId="0" xfId="73" applyFont="1" applyAlignment="1">
      <alignment vertical="center"/>
    </xf>
    <xf numFmtId="49" fontId="4" fillId="0" borderId="7" xfId="73" applyFont="1" applyBorder="1" applyAlignment="1">
      <alignment vertical="center"/>
    </xf>
    <xf numFmtId="3" fontId="4" fillId="0" borderId="7" xfId="73" applyNumberFormat="1" applyFont="1" applyBorder="1" applyAlignment="1">
      <alignment vertical="center"/>
    </xf>
    <xf numFmtId="49" fontId="12" fillId="0" borderId="7" xfId="73" applyFont="1" applyBorder="1" applyAlignment="1">
      <alignment vertical="center"/>
    </xf>
    <xf numFmtId="49" fontId="4" fillId="0" borderId="0" xfId="72" quotePrefix="1" applyFont="1" applyAlignment="1">
      <alignment horizontal="left" vertical="center"/>
    </xf>
    <xf numFmtId="1" fontId="4" fillId="0" borderId="0" xfId="73" applyNumberFormat="1" applyFont="1" applyAlignment="1">
      <alignment vertical="center"/>
    </xf>
    <xf numFmtId="0" fontId="4" fillId="0" borderId="0" xfId="73" applyNumberFormat="1" applyFont="1" applyAlignment="1">
      <alignment vertical="center"/>
    </xf>
    <xf numFmtId="0" fontId="4" fillId="0" borderId="0" xfId="73" quotePrefix="1" applyNumberFormat="1" applyFont="1" applyAlignment="1">
      <alignment horizontal="left" vertical="center"/>
    </xf>
    <xf numFmtId="3" fontId="4" fillId="0" borderId="0" xfId="73" applyNumberFormat="1" applyFont="1" applyAlignment="1">
      <alignment horizontal="right" vertical="center"/>
    </xf>
    <xf numFmtId="49" fontId="4" fillId="0" borderId="0" xfId="73" quotePrefix="1" applyFont="1" applyAlignment="1">
      <alignment horizontal="center"/>
    </xf>
    <xf numFmtId="49" fontId="6" fillId="0" borderId="0" xfId="73" applyFont="1" applyAlignment="1">
      <alignment vertical="center"/>
    </xf>
    <xf numFmtId="3" fontId="3" fillId="0" borderId="0" xfId="73" applyNumberFormat="1" applyFont="1" applyAlignment="1">
      <alignment horizontal="right" vertical="center"/>
    </xf>
    <xf numFmtId="41" fontId="4" fillId="0" borderId="0" xfId="75" applyNumberFormat="1" applyFont="1" applyAlignment="1">
      <alignment vertical="center"/>
    </xf>
    <xf numFmtId="49" fontId="6" fillId="0" borderId="0" xfId="73" applyFont="1" applyAlignment="1">
      <alignment horizontal="left" vertical="center"/>
    </xf>
    <xf numFmtId="49" fontId="6" fillId="0" borderId="0" xfId="73" applyFont="1" applyAlignment="1">
      <alignment horizontal="left" vertical="center" wrapText="1"/>
    </xf>
    <xf numFmtId="0" fontId="4" fillId="0" borderId="0" xfId="70" applyFont="1" applyAlignment="1">
      <alignment horizontal="left" vertical="center" wrapText="1"/>
    </xf>
    <xf numFmtId="49" fontId="11" fillId="0" borderId="0" xfId="73" applyFont="1" applyAlignment="1">
      <alignment horizontal="left" vertical="center"/>
    </xf>
    <xf numFmtId="0" fontId="3" fillId="0" borderId="0" xfId="53" applyFont="1" applyAlignment="1">
      <alignment horizontal="left" vertical="center"/>
    </xf>
    <xf numFmtId="0" fontId="7" fillId="0" borderId="0" xfId="53" applyFont="1" applyAlignment="1">
      <alignment horizontal="left" vertical="center"/>
    </xf>
    <xf numFmtId="49" fontId="4" fillId="0" borderId="0" xfId="75" applyFont="1" applyAlignment="1">
      <alignment horizontal="left" vertical="center"/>
    </xf>
    <xf numFmtId="49" fontId="3" fillId="0" borderId="0" xfId="75" applyFont="1" applyAlignment="1">
      <alignment horizontal="left" vertical="center"/>
    </xf>
    <xf numFmtId="0" fontId="4" fillId="0" borderId="0" xfId="104" quotePrefix="1" applyFont="1" applyAlignment="1">
      <alignment horizontal="left" vertical="center"/>
    </xf>
    <xf numFmtId="0" fontId="4" fillId="0" borderId="0" xfId="49" applyFont="1" applyAlignment="1">
      <alignment horizontal="left" vertical="center"/>
    </xf>
    <xf numFmtId="49" fontId="4" fillId="0" borderId="0" xfId="73" applyFont="1" applyAlignment="1">
      <alignment horizontal="center" vertical="center"/>
    </xf>
    <xf numFmtId="49" fontId="4" fillId="0" borderId="0" xfId="73" applyFont="1" applyAlignment="1">
      <alignment horizontal="right" vertical="top" wrapText="1"/>
    </xf>
    <xf numFmtId="49" fontId="4" fillId="0" borderId="0" xfId="73" quotePrefix="1" applyFont="1" applyAlignment="1">
      <alignment horizontal="right" vertical="top" wrapText="1"/>
    </xf>
    <xf numFmtId="49" fontId="4" fillId="0" borderId="0" xfId="73" applyFont="1" applyAlignment="1">
      <alignment horizontal="right" vertical="top"/>
    </xf>
    <xf numFmtId="178" fontId="6" fillId="0" borderId="0" xfId="37" applyNumberFormat="1" applyFont="1" applyFill="1" applyBorder="1" applyAlignment="1" applyProtection="1">
      <alignment vertical="center"/>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xf numFmtId="0" fontId="48" fillId="36" borderId="0" xfId="0" applyFont="1" applyFill="1" applyAlignment="1">
      <alignment horizontal="left" vertical="center"/>
    </xf>
    <xf numFmtId="0" fontId="48" fillId="36" borderId="0" xfId="0" applyFont="1" applyFill="1" applyAlignment="1">
      <alignment horizontal="left" vertical="center" wrapText="1"/>
    </xf>
    <xf numFmtId="0" fontId="5" fillId="0" borderId="0" xfId="0" applyFont="1" applyAlignment="1">
      <alignment horizontal="left" vertical="center"/>
    </xf>
    <xf numFmtId="0" fontId="5" fillId="0" borderId="0" xfId="0" applyFont="1" applyAlignment="1">
      <alignment vertical="center"/>
    </xf>
    <xf numFmtId="0" fontId="49" fillId="0" borderId="17" xfId="107" applyFill="1" applyBorder="1" applyAlignment="1" applyProtection="1">
      <alignment horizontal="left" vertical="top"/>
    </xf>
    <xf numFmtId="0" fontId="5" fillId="0" borderId="17" xfId="0" applyFont="1" applyBorder="1" applyAlignment="1">
      <alignment horizontal="left" vertical="top" wrapText="1"/>
    </xf>
    <xf numFmtId="0" fontId="5" fillId="0" borderId="17" xfId="0" applyFont="1" applyBorder="1" applyAlignment="1">
      <alignment horizontal="left" vertical="top"/>
    </xf>
    <xf numFmtId="0" fontId="50" fillId="0" borderId="17" xfId="107" applyFont="1" applyBorder="1" applyAlignment="1" applyProtection="1">
      <alignment horizontal="left" vertical="top"/>
    </xf>
    <xf numFmtId="0" fontId="49" fillId="0" borderId="17" xfId="107" applyBorder="1" applyAlignment="1" applyProtection="1">
      <alignment horizontal="left" vertical="top"/>
    </xf>
    <xf numFmtId="0" fontId="5" fillId="0" borderId="17" xfId="0" quotePrefix="1" applyFont="1" applyBorder="1" applyAlignment="1">
      <alignment horizontal="left" vertical="top"/>
    </xf>
    <xf numFmtId="0" fontId="26" fillId="0" borderId="0" xfId="56"/>
    <xf numFmtId="0" fontId="51" fillId="0" borderId="0" xfId="56" quotePrefix="1" applyFont="1" applyAlignment="1">
      <alignment horizontal="left"/>
    </xf>
    <xf numFmtId="0" fontId="52" fillId="0" borderId="0" xfId="56" applyFont="1"/>
    <xf numFmtId="0" fontId="2" fillId="0" borderId="0" xfId="62" quotePrefix="1" applyFont="1" applyAlignment="1">
      <alignment horizontal="left" vertical="center"/>
    </xf>
    <xf numFmtId="0" fontId="55" fillId="0" borderId="0" xfId="56" quotePrefix="1" applyFont="1" applyAlignment="1">
      <alignment horizontal="left" wrapText="1"/>
    </xf>
    <xf numFmtId="0" fontId="56" fillId="0" borderId="0" xfId="56" quotePrefix="1" applyFont="1" applyAlignment="1">
      <alignment horizontal="left" wrapText="1"/>
    </xf>
    <xf numFmtId="0" fontId="56" fillId="0" borderId="0" xfId="56" applyFont="1" applyAlignment="1">
      <alignment horizontal="center" vertical="top" wrapText="1"/>
    </xf>
    <xf numFmtId="0" fontId="57" fillId="0" borderId="0" xfId="0" applyFont="1"/>
    <xf numFmtId="0" fontId="3" fillId="0" borderId="0" xfId="49" quotePrefix="1" applyFont="1" applyAlignment="1">
      <alignment horizontal="left" vertical="center" wrapText="1"/>
    </xf>
    <xf numFmtId="178" fontId="3" fillId="0" borderId="0" xfId="71" applyNumberFormat="1" applyFont="1" applyAlignment="1">
      <alignment horizontal="right" vertical="center"/>
    </xf>
    <xf numFmtId="0" fontId="4" fillId="0" borderId="0" xfId="49" quotePrefix="1" applyFont="1" applyAlignment="1">
      <alignment vertical="center" wrapText="1"/>
    </xf>
    <xf numFmtId="167" fontId="26" fillId="0" borderId="0" xfId="56" applyNumberFormat="1"/>
    <xf numFmtId="0" fontId="4" fillId="0" borderId="7" xfId="62" applyFont="1" applyBorder="1" applyAlignment="1">
      <alignment horizontal="center" vertical="center" wrapText="1"/>
    </xf>
    <xf numFmtId="178" fontId="4" fillId="0" borderId="0" xfId="71" applyNumberFormat="1" applyFont="1" applyAlignment="1">
      <alignment horizontal="right" vertical="center"/>
    </xf>
    <xf numFmtId="0" fontId="4" fillId="0" borderId="0" xfId="69" applyFont="1" applyAlignment="1">
      <alignment horizontal="left" vertical="center"/>
    </xf>
    <xf numFmtId="0" fontId="8" fillId="0" borderId="0" xfId="69" applyFont="1" applyAlignment="1">
      <alignment horizontal="left" vertical="center"/>
    </xf>
    <xf numFmtId="0" fontId="3" fillId="0" borderId="7" xfId="49" quotePrefix="1" applyFont="1" applyBorder="1" applyAlignment="1">
      <alignment horizontal="left" vertical="center" wrapText="1"/>
    </xf>
    <xf numFmtId="178" fontId="26" fillId="0" borderId="0" xfId="56" applyNumberFormat="1"/>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left" vertical="center"/>
    </xf>
    <xf numFmtId="0" fontId="4" fillId="0" borderId="0" xfId="0" quotePrefix="1" applyFont="1" applyAlignment="1">
      <alignment horizontal="left" vertical="center"/>
    </xf>
    <xf numFmtId="0" fontId="4" fillId="0" borderId="0" xfId="0" applyFont="1" applyAlignment="1">
      <alignment vertical="center"/>
    </xf>
    <xf numFmtId="0" fontId="4" fillId="0" borderId="7" xfId="0" applyFont="1" applyBorder="1" applyAlignment="1">
      <alignment vertical="center"/>
    </xf>
    <xf numFmtId="0" fontId="4" fillId="0" borderId="0" xfId="0" applyFont="1" applyAlignment="1">
      <alignment horizontal="center" vertical="center"/>
    </xf>
    <xf numFmtId="0" fontId="4" fillId="0" borderId="7" xfId="0" applyFont="1" applyBorder="1" applyAlignment="1">
      <alignment horizontal="right" vertical="top" wrapText="1"/>
    </xf>
    <xf numFmtId="0" fontId="4" fillId="0" borderId="0" xfId="0" applyFont="1"/>
    <xf numFmtId="0" fontId="57" fillId="0" borderId="0" xfId="0" applyFont="1" applyAlignment="1">
      <alignment horizontal="center" vertical="center" wrapText="1"/>
    </xf>
    <xf numFmtId="0" fontId="4" fillId="0" borderId="0" xfId="0" applyFont="1" applyAlignment="1">
      <alignment horizontal="left" vertical="center"/>
    </xf>
    <xf numFmtId="3" fontId="4" fillId="0" borderId="0" xfId="0" applyNumberFormat="1" applyFont="1" applyAlignment="1">
      <alignment vertical="center"/>
    </xf>
    <xf numFmtId="0" fontId="4" fillId="0" borderId="0" xfId="0" applyFont="1" applyAlignment="1">
      <alignment horizontal="left"/>
    </xf>
    <xf numFmtId="3" fontId="4" fillId="0" borderId="0" xfId="0" applyNumberFormat="1" applyFont="1"/>
    <xf numFmtId="3" fontId="4" fillId="0" borderId="0" xfId="0" applyNumberFormat="1" applyFont="1" applyAlignment="1">
      <alignment horizontal="right" vertical="top"/>
    </xf>
    <xf numFmtId="0" fontId="4" fillId="0" borderId="0" xfId="0" applyFont="1" applyAlignment="1">
      <alignment horizontal="right" vertical="center"/>
    </xf>
    <xf numFmtId="3" fontId="4" fillId="0" borderId="0" xfId="0" quotePrefix="1" applyNumberFormat="1" applyFont="1" applyAlignment="1">
      <alignment horizontal="right" vertical="center"/>
    </xf>
    <xf numFmtId="0" fontId="8" fillId="0" borderId="0" xfId="0" applyFont="1" applyAlignment="1">
      <alignment vertical="center"/>
    </xf>
    <xf numFmtId="0" fontId="3" fillId="0" borderId="0" xfId="0" applyFont="1" applyAlignment="1">
      <alignment vertical="center"/>
    </xf>
    <xf numFmtId="3" fontId="3" fillId="0" borderId="0" xfId="0" applyNumberFormat="1" applyFont="1" applyAlignment="1">
      <alignment vertical="center"/>
    </xf>
    <xf numFmtId="0" fontId="4" fillId="0" borderId="7" xfId="0" applyFont="1" applyBorder="1" applyAlignment="1">
      <alignment horizontal="center" vertical="center"/>
    </xf>
    <xf numFmtId="0" fontId="63" fillId="0" borderId="0" xfId="0" applyFont="1"/>
    <xf numFmtId="0" fontId="64" fillId="0" borderId="0" xfId="0" applyFont="1"/>
    <xf numFmtId="0" fontId="1" fillId="0" borderId="0" xfId="0" quotePrefix="1" applyFont="1" applyAlignment="1">
      <alignment vertical="center"/>
    </xf>
    <xf numFmtId="165" fontId="2" fillId="0" borderId="0" xfId="0" applyNumberFormat="1" applyFont="1" applyAlignment="1">
      <alignment vertical="center"/>
    </xf>
    <xf numFmtId="3" fontId="0" fillId="0" borderId="0" xfId="0" applyNumberFormat="1" applyAlignment="1">
      <alignment vertical="center"/>
    </xf>
    <xf numFmtId="165" fontId="4" fillId="0" borderId="0" xfId="109" applyNumberFormat="1" applyFont="1" applyFill="1" applyAlignment="1">
      <alignment horizontal="right" vertical="center"/>
    </xf>
    <xf numFmtId="165" fontId="0" fillId="0" borderId="0" xfId="0" applyNumberFormat="1" applyAlignment="1">
      <alignment vertical="center"/>
    </xf>
    <xf numFmtId="165" fontId="4" fillId="0" borderId="0" xfId="109" applyNumberFormat="1" applyFont="1" applyFill="1" applyAlignment="1">
      <alignment vertical="center"/>
    </xf>
    <xf numFmtId="0" fontId="57" fillId="0" borderId="7" xfId="0" applyFont="1" applyBorder="1"/>
    <xf numFmtId="0" fontId="4" fillId="0" borderId="7" xfId="0" applyFont="1" applyBorder="1"/>
    <xf numFmtId="165" fontId="57" fillId="0" borderId="0" xfId="0" applyNumberFormat="1" applyFont="1"/>
    <xf numFmtId="0" fontId="57" fillId="0" borderId="0" xfId="0" applyFont="1" applyAlignment="1">
      <alignment vertical="center"/>
    </xf>
    <xf numFmtId="181" fontId="4" fillId="0" borderId="0" xfId="0" applyNumberFormat="1" applyFont="1" applyAlignment="1">
      <alignment vertical="center"/>
    </xf>
    <xf numFmtId="181" fontId="3" fillId="0" borderId="0" xfId="0" applyNumberFormat="1" applyFont="1" applyAlignment="1">
      <alignment vertical="center"/>
    </xf>
    <xf numFmtId="0" fontId="0" fillId="0" borderId="7" xfId="0" applyBorder="1" applyAlignment="1">
      <alignment vertical="center"/>
    </xf>
    <xf numFmtId="165" fontId="57" fillId="0" borderId="0" xfId="109" applyNumberFormat="1" applyFont="1" applyFill="1"/>
    <xf numFmtId="181" fontId="57" fillId="0" borderId="0" xfId="0" applyNumberFormat="1" applyFont="1"/>
    <xf numFmtId="3" fontId="57" fillId="0" borderId="0" xfId="0" applyNumberFormat="1" applyFont="1"/>
    <xf numFmtId="165" fontId="61" fillId="0" borderId="0" xfId="109" applyNumberFormat="1" applyFont="1" applyFill="1"/>
    <xf numFmtId="3" fontId="4" fillId="0" borderId="0" xfId="0" applyNumberFormat="1" applyFont="1" applyAlignment="1">
      <alignment horizontal="right" vertical="center"/>
    </xf>
    <xf numFmtId="3" fontId="61" fillId="0" borderId="0" xfId="0" applyNumberFormat="1" applyFont="1"/>
    <xf numFmtId="0" fontId="4" fillId="0" borderId="0" xfId="0" applyFont="1" applyAlignment="1">
      <alignment vertical="top"/>
    </xf>
    <xf numFmtId="0" fontId="4" fillId="0" borderId="7" xfId="0" applyFont="1" applyBorder="1" applyAlignment="1">
      <alignment horizontal="right" vertical="top"/>
    </xf>
    <xf numFmtId="0" fontId="8" fillId="0" borderId="0" xfId="0" applyFont="1" applyAlignment="1">
      <alignment horizontal="left" vertical="center"/>
    </xf>
    <xf numFmtId="164" fontId="4" fillId="0" borderId="0" xfId="0" applyNumberFormat="1" applyFont="1" applyAlignment="1">
      <alignment horizontal="right"/>
    </xf>
    <xf numFmtId="3" fontId="4" fillId="0" borderId="0" xfId="0" applyNumberFormat="1" applyFont="1" applyAlignment="1">
      <alignment horizontal="right" wrapText="1"/>
    </xf>
    <xf numFmtId="0" fontId="0" fillId="0" borderId="0" xfId="0" applyAlignment="1">
      <alignment vertical="center" wrapText="1"/>
    </xf>
    <xf numFmtId="3" fontId="4" fillId="0" borderId="0" xfId="0" applyNumberFormat="1" applyFont="1" applyAlignment="1">
      <alignment horizontal="right"/>
    </xf>
    <xf numFmtId="164" fontId="3" fillId="0" borderId="0" xfId="0" applyNumberFormat="1" applyFont="1" applyAlignment="1">
      <alignment horizontal="right"/>
    </xf>
    <xf numFmtId="0" fontId="67" fillId="0" borderId="0" xfId="0" applyFont="1" applyAlignment="1">
      <alignment vertical="center"/>
    </xf>
    <xf numFmtId="165" fontId="3" fillId="0" borderId="7" xfId="0" applyNumberFormat="1" applyFont="1" applyBorder="1" applyAlignment="1">
      <alignment vertical="center"/>
    </xf>
    <xf numFmtId="0" fontId="66" fillId="0" borderId="0" xfId="0" applyFont="1" applyAlignment="1">
      <alignment horizontal="left" vertical="center"/>
    </xf>
    <xf numFmtId="0" fontId="57" fillId="0" borderId="0" xfId="0" applyFont="1" applyAlignment="1">
      <alignment vertical="center" wrapText="1"/>
    </xf>
    <xf numFmtId="0" fontId="57" fillId="0" borderId="0" xfId="0" applyFont="1" applyAlignment="1">
      <alignment wrapText="1"/>
    </xf>
    <xf numFmtId="0" fontId="52" fillId="0" borderId="0" xfId="0" applyFont="1"/>
    <xf numFmtId="3" fontId="57" fillId="0" borderId="0" xfId="0" applyNumberFormat="1" applyFont="1" applyAlignment="1">
      <alignment horizontal="right"/>
    </xf>
    <xf numFmtId="0" fontId="0" fillId="0" borderId="0" xfId="0" applyAlignment="1">
      <alignment horizontal="right" vertical="center"/>
    </xf>
    <xf numFmtId="0" fontId="4" fillId="0" borderId="0" xfId="0" applyFont="1" applyAlignment="1">
      <alignment horizontal="right" vertical="top" wrapText="1"/>
    </xf>
    <xf numFmtId="0" fontId="4" fillId="0" borderId="0" xfId="0" applyFont="1" applyAlignment="1">
      <alignment vertical="center" wrapText="1"/>
    </xf>
    <xf numFmtId="0" fontId="4" fillId="0" borderId="0" xfId="0" applyFont="1" applyAlignment="1">
      <alignment wrapText="1"/>
    </xf>
    <xf numFmtId="0" fontId="4" fillId="0" borderId="0" xfId="0" applyFont="1" applyAlignment="1">
      <alignment horizontal="right"/>
    </xf>
    <xf numFmtId="49" fontId="4" fillId="0" borderId="0" xfId="110" applyNumberFormat="1" applyFont="1" applyBorder="1" applyAlignment="1">
      <alignment horizontal="left" vertical="center"/>
    </xf>
    <xf numFmtId="0" fontId="69" fillId="37" borderId="0" xfId="0" applyFont="1" applyFill="1" applyAlignment="1">
      <alignment vertical="center"/>
    </xf>
    <xf numFmtId="0" fontId="4" fillId="0" borderId="0" xfId="110" applyNumberFormat="1" applyFont="1" applyBorder="1" applyAlignment="1">
      <alignment horizontal="left" vertical="center"/>
    </xf>
    <xf numFmtId="41" fontId="4" fillId="0" borderId="0" xfId="0" applyNumberFormat="1" applyFont="1"/>
    <xf numFmtId="182" fontId="68" fillId="0" borderId="0" xfId="0" applyNumberFormat="1" applyFont="1" applyAlignment="1">
      <alignment vertical="center" wrapText="1"/>
    </xf>
    <xf numFmtId="0" fontId="5" fillId="0" borderId="0" xfId="0" quotePrefix="1" applyFont="1" applyAlignment="1">
      <alignment horizontal="left" vertical="center"/>
    </xf>
    <xf numFmtId="0" fontId="70" fillId="0" borderId="0" xfId="49" applyFont="1" applyAlignment="1">
      <alignment vertical="center"/>
    </xf>
    <xf numFmtId="41" fontId="4" fillId="0" borderId="0" xfId="49" applyNumberFormat="1" applyFont="1" applyAlignment="1">
      <alignment horizontal="right" vertical="center" wrapText="1"/>
    </xf>
    <xf numFmtId="41" fontId="8" fillId="0" borderId="0" xfId="49" applyNumberFormat="1" applyFont="1" applyAlignment="1">
      <alignment horizontal="right" vertical="center" wrapText="1"/>
    </xf>
    <xf numFmtId="0" fontId="71" fillId="0" borderId="0" xfId="49" applyFont="1" applyAlignment="1">
      <alignment vertical="center"/>
    </xf>
    <xf numFmtId="41" fontId="3" fillId="0" borderId="0" xfId="49" applyNumberFormat="1" applyFont="1" applyAlignment="1">
      <alignment horizontal="right" vertical="center" wrapText="1"/>
    </xf>
    <xf numFmtId="0" fontId="3" fillId="0" borderId="0" xfId="49" applyFont="1" applyAlignment="1">
      <alignment vertical="center"/>
    </xf>
    <xf numFmtId="0" fontId="72" fillId="0" borderId="0" xfId="49" applyFont="1" applyAlignment="1">
      <alignment vertical="center"/>
    </xf>
    <xf numFmtId="41" fontId="4" fillId="0" borderId="0" xfId="49" applyNumberFormat="1" applyFont="1" applyAlignment="1">
      <alignment horizontal="right" vertical="center"/>
    </xf>
    <xf numFmtId="166" fontId="4" fillId="0" borderId="0" xfId="49" applyNumberFormat="1" applyFont="1" applyAlignment="1">
      <alignment horizontal="left" vertical="center"/>
    </xf>
    <xf numFmtId="166" fontId="4" fillId="0" borderId="0" xfId="49" quotePrefix="1" applyNumberFormat="1" applyFont="1" applyAlignment="1">
      <alignment horizontal="right" vertical="center"/>
    </xf>
    <xf numFmtId="0" fontId="3" fillId="0" borderId="0" xfId="49" applyFont="1" applyAlignment="1">
      <alignment horizontal="left" vertical="center"/>
    </xf>
    <xf numFmtId="166" fontId="3" fillId="0" borderId="0" xfId="49" applyNumberFormat="1" applyFont="1" applyAlignment="1">
      <alignment horizontal="left" vertical="center"/>
    </xf>
    <xf numFmtId="0" fontId="4" fillId="0" borderId="7" xfId="49" applyFont="1" applyBorder="1" applyAlignment="1">
      <alignment vertical="center"/>
    </xf>
    <xf numFmtId="3" fontId="4" fillId="0" borderId="7" xfId="49" applyNumberFormat="1" applyFont="1" applyBorder="1" applyAlignment="1">
      <alignment horizontal="right" vertical="center"/>
    </xf>
    <xf numFmtId="3" fontId="4" fillId="0" borderId="7" xfId="49" applyNumberFormat="1" applyFont="1" applyBorder="1" applyAlignment="1">
      <alignment vertical="center"/>
    </xf>
    <xf numFmtId="0" fontId="1" fillId="0" borderId="0" xfId="55" applyFont="1" applyAlignment="1">
      <alignment vertical="center"/>
    </xf>
    <xf numFmtId="0" fontId="2" fillId="0" borderId="0" xfId="55" applyFont="1" applyAlignment="1">
      <alignment vertical="center"/>
    </xf>
    <xf numFmtId="0" fontId="4" fillId="0" borderId="0" xfId="55" applyFont="1"/>
    <xf numFmtId="0" fontId="3" fillId="0" borderId="0" xfId="55" applyFont="1" applyAlignment="1">
      <alignment vertical="center"/>
    </xf>
    <xf numFmtId="0" fontId="25" fillId="0" borderId="0" xfId="55"/>
    <xf numFmtId="0" fontId="4" fillId="0" borderId="7" xfId="55" applyFont="1" applyBorder="1" applyAlignment="1">
      <alignment horizontal="right" vertical="top"/>
    </xf>
    <xf numFmtId="0" fontId="25" fillId="0" borderId="0" xfId="55" applyAlignment="1">
      <alignment vertical="top"/>
    </xf>
    <xf numFmtId="0" fontId="4" fillId="0" borderId="0" xfId="55" applyFont="1" applyAlignment="1">
      <alignment vertical="center"/>
    </xf>
    <xf numFmtId="0" fontId="25" fillId="0" borderId="0" xfId="55" applyAlignment="1">
      <alignment vertical="center"/>
    </xf>
    <xf numFmtId="0" fontId="4" fillId="0" borderId="0" xfId="55" quotePrefix="1" applyFont="1"/>
    <xf numFmtId="0" fontId="4" fillId="0" borderId="0" xfId="55" quotePrefix="1" applyFont="1" applyAlignment="1">
      <alignment horizontal="left" vertical="center"/>
    </xf>
    <xf numFmtId="3" fontId="4" fillId="0" borderId="0" xfId="55" applyNumberFormat="1" applyFont="1" applyAlignment="1">
      <alignment horizontal="right"/>
    </xf>
    <xf numFmtId="0" fontId="63" fillId="0" borderId="0" xfId="55" applyFont="1" applyAlignment="1">
      <alignment vertical="center"/>
    </xf>
    <xf numFmtId="0" fontId="4" fillId="0" borderId="0" xfId="55" applyFont="1" applyAlignment="1">
      <alignment horizontal="left" vertical="center"/>
    </xf>
    <xf numFmtId="165" fontId="4" fillId="0" borderId="0" xfId="55" applyNumberFormat="1" applyFont="1" applyAlignment="1">
      <alignment horizontal="right" vertical="center"/>
    </xf>
    <xf numFmtId="0" fontId="4" fillId="0" borderId="0" xfId="55" applyFont="1" applyAlignment="1">
      <alignment horizontal="left"/>
    </xf>
    <xf numFmtId="0" fontId="4" fillId="0" borderId="0" xfId="55" quotePrefix="1" applyFont="1" applyAlignment="1">
      <alignment vertical="center"/>
    </xf>
    <xf numFmtId="0" fontId="63" fillId="0" borderId="0" xfId="55" applyFont="1"/>
    <xf numFmtId="0" fontId="4" fillId="0" borderId="7" xfId="55" applyFont="1" applyBorder="1"/>
    <xf numFmtId="0" fontId="49" fillId="0" borderId="18" xfId="107" applyFill="1" applyBorder="1" applyAlignment="1" applyProtection="1">
      <alignment horizontal="left" vertical="top"/>
    </xf>
    <xf numFmtId="0" fontId="5" fillId="0" borderId="18" xfId="0" applyFont="1" applyBorder="1" applyAlignment="1">
      <alignment horizontal="left" vertical="top" wrapText="1"/>
    </xf>
    <xf numFmtId="0" fontId="5" fillId="0" borderId="18" xfId="0" quotePrefix="1" applyFont="1" applyBorder="1" applyAlignment="1">
      <alignment horizontal="left" vertical="top"/>
    </xf>
    <xf numFmtId="0" fontId="73" fillId="0" borderId="0" xfId="0" applyFont="1" applyAlignment="1">
      <alignment horizontal="left" vertical="top"/>
    </xf>
    <xf numFmtId="0" fontId="73" fillId="0" borderId="0" xfId="0" applyFont="1" applyAlignment="1">
      <alignment horizontal="left" vertical="top" wrapText="1"/>
    </xf>
    <xf numFmtId="169" fontId="4" fillId="0" borderId="0" xfId="71" quotePrefix="1" applyNumberFormat="1" applyFont="1" applyAlignment="1">
      <alignment horizontal="fill" vertical="center"/>
    </xf>
    <xf numFmtId="0" fontId="4" fillId="0" borderId="0" xfId="49" applyFont="1" applyAlignment="1">
      <alignment horizontal="center" vertical="center"/>
    </xf>
    <xf numFmtId="0" fontId="4" fillId="0" borderId="7" xfId="53" applyFont="1" applyBorder="1" applyAlignment="1">
      <alignment horizontal="right" vertical="top" wrapText="1"/>
    </xf>
    <xf numFmtId="49" fontId="4" fillId="0" borderId="7"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7" xfId="73" applyFont="1" applyBorder="1" applyAlignment="1">
      <alignment horizontal="right" vertical="top" wrapText="1"/>
    </xf>
    <xf numFmtId="49" fontId="4" fillId="0" borderId="7" xfId="75" applyFont="1" applyBorder="1" applyAlignment="1">
      <alignment horizontal="right" vertical="top" wrapText="1"/>
    </xf>
    <xf numFmtId="49" fontId="4" fillId="0" borderId="0" xfId="75" applyFont="1" applyAlignment="1">
      <alignment horizontal="left" vertical="center" wrapText="1"/>
    </xf>
    <xf numFmtId="3" fontId="4" fillId="0" borderId="0" xfId="75" applyNumberFormat="1" applyFont="1" applyAlignment="1">
      <alignment horizontal="center" vertical="center"/>
    </xf>
    <xf numFmtId="0" fontId="6" fillId="0" borderId="0" xfId="35" quotePrefix="1" applyFont="1" applyFill="1" applyAlignment="1">
      <alignment vertical="center" wrapText="1"/>
    </xf>
    <xf numFmtId="0" fontId="4" fillId="0" borderId="0" xfId="71" applyNumberFormat="1" applyFont="1" applyAlignment="1">
      <alignment horizontal="right" vertical="center"/>
    </xf>
    <xf numFmtId="165" fontId="4" fillId="0" borderId="0" xfId="75" applyNumberFormat="1" applyFont="1" applyAlignment="1">
      <alignment vertical="center"/>
    </xf>
    <xf numFmtId="0" fontId="4" fillId="0" borderId="0" xfId="75" applyNumberFormat="1" applyFont="1" applyAlignment="1">
      <alignment vertical="center"/>
    </xf>
    <xf numFmtId="49" fontId="4" fillId="0" borderId="0" xfId="73" applyFont="1" applyAlignment="1">
      <alignment horizontal="right" vertical="center"/>
    </xf>
    <xf numFmtId="0" fontId="4" fillId="0" borderId="7" xfId="0" applyFont="1" applyBorder="1" applyAlignment="1">
      <alignment horizontal="left" vertical="center"/>
    </xf>
    <xf numFmtId="0" fontId="4" fillId="0" borderId="0" xfId="0" applyFont="1" applyAlignment="1">
      <alignment horizontal="left" vertical="center" wrapText="1"/>
    </xf>
    <xf numFmtId="0" fontId="4" fillId="0" borderId="7" xfId="49" applyFont="1" applyBorder="1" applyAlignment="1">
      <alignment horizontal="right" vertical="center" wrapText="1"/>
    </xf>
    <xf numFmtId="0" fontId="4" fillId="0" borderId="0" xfId="55" quotePrefix="1" applyFont="1" applyAlignment="1">
      <alignment horizontal="center" vertical="center"/>
    </xf>
    <xf numFmtId="0" fontId="4" fillId="0" borderId="7" xfId="55" applyFont="1" applyBorder="1" applyAlignment="1">
      <alignment horizontal="right" vertical="top" wrapText="1"/>
    </xf>
    <xf numFmtId="0" fontId="2" fillId="0" borderId="0" xfId="0" quotePrefix="1" applyFont="1" applyAlignment="1">
      <alignment horizontal="left" vertical="center"/>
    </xf>
    <xf numFmtId="0" fontId="3" fillId="0" borderId="0" xfId="0" quotePrefix="1" applyFont="1" applyAlignment="1">
      <alignment horizontal="left" vertical="center"/>
    </xf>
    <xf numFmtId="0" fontId="4" fillId="0" borderId="7" xfId="0" quotePrefix="1" applyFont="1" applyBorder="1" applyAlignment="1">
      <alignment horizontal="right" vertical="top" wrapText="1"/>
    </xf>
    <xf numFmtId="0" fontId="4" fillId="0" borderId="7" xfId="0" applyFont="1" applyBorder="1" applyAlignment="1">
      <alignment vertical="center" wrapText="1"/>
    </xf>
    <xf numFmtId="0" fontId="4" fillId="0" borderId="0" xfId="0" quotePrefix="1" applyFont="1" applyAlignment="1">
      <alignment horizontal="right" vertical="top" wrapText="1"/>
    </xf>
    <xf numFmtId="3" fontId="4" fillId="0" borderId="0" xfId="0" applyNumberFormat="1" applyFont="1" applyAlignment="1">
      <alignment horizontal="right" vertical="center" wrapText="1"/>
    </xf>
    <xf numFmtId="181" fontId="57" fillId="0" borderId="0" xfId="0" applyNumberFormat="1" applyFont="1" applyAlignment="1">
      <alignment vertical="center"/>
    </xf>
    <xf numFmtId="3" fontId="58" fillId="0" borderId="0" xfId="0" applyNumberFormat="1" applyFont="1" applyAlignment="1">
      <alignment vertical="center"/>
    </xf>
    <xf numFmtId="3" fontId="58" fillId="0" borderId="0" xfId="0" applyNumberFormat="1" applyFont="1" applyAlignment="1">
      <alignment horizontal="right" vertical="center" wrapText="1"/>
    </xf>
    <xf numFmtId="3" fontId="4" fillId="0" borderId="0" xfId="49" applyNumberFormat="1" applyFont="1" applyAlignment="1">
      <alignment vertical="center"/>
    </xf>
    <xf numFmtId="165" fontId="4" fillId="0" borderId="0" xfId="0" applyNumberFormat="1" applyFont="1" applyAlignment="1">
      <alignment vertical="center"/>
    </xf>
    <xf numFmtId="0" fontId="4" fillId="0" borderId="7" xfId="49" quotePrefix="1" applyFont="1" applyBorder="1" applyAlignment="1">
      <alignment horizontal="right" vertical="center" wrapText="1"/>
    </xf>
    <xf numFmtId="182" fontId="4" fillId="0" borderId="0" xfId="49" applyNumberFormat="1" applyFont="1" applyAlignment="1">
      <alignment horizontal="right" vertical="center"/>
    </xf>
    <xf numFmtId="3" fontId="4" fillId="0" borderId="0" xfId="49" applyNumberFormat="1" applyFont="1" applyAlignment="1">
      <alignment horizontal="right" vertical="center"/>
    </xf>
    <xf numFmtId="0" fontId="74" fillId="0" borderId="0" xfId="0" applyFont="1"/>
    <xf numFmtId="0" fontId="75" fillId="0" borderId="0" xfId="0" applyFont="1" applyAlignment="1">
      <alignment horizontal="right"/>
    </xf>
    <xf numFmtId="0" fontId="75" fillId="0" borderId="0" xfId="0" applyFont="1"/>
    <xf numFmtId="0" fontId="76" fillId="0" borderId="0" xfId="0" applyFont="1"/>
    <xf numFmtId="0" fontId="1" fillId="0" borderId="0" xfId="0" applyFont="1"/>
    <xf numFmtId="0" fontId="2" fillId="0" borderId="0" xfId="0" applyFont="1" applyAlignment="1">
      <alignment horizontal="right"/>
    </xf>
    <xf numFmtId="0" fontId="2" fillId="0" borderId="0" xfId="0" applyFont="1"/>
    <xf numFmtId="0" fontId="58" fillId="0" borderId="0" xfId="0" applyFont="1" applyAlignment="1">
      <alignment horizontal="left" vertical="center"/>
    </xf>
    <xf numFmtId="0" fontId="58" fillId="0" borderId="0" xfId="0" applyFont="1" applyAlignment="1">
      <alignment horizontal="right" vertical="center"/>
    </xf>
    <xf numFmtId="0" fontId="65" fillId="0" borderId="0" xfId="0" applyFont="1" applyAlignment="1">
      <alignment horizontal="right" vertical="center"/>
    </xf>
    <xf numFmtId="181" fontId="4" fillId="0" borderId="0" xfId="0" applyNumberFormat="1" applyFont="1"/>
    <xf numFmtId="165" fontId="57" fillId="0" borderId="0" xfId="0" applyNumberFormat="1" applyFont="1" applyAlignment="1">
      <alignment horizontal="right"/>
    </xf>
    <xf numFmtId="0" fontId="58" fillId="0" borderId="0" xfId="0" quotePrefix="1" applyFont="1" applyAlignment="1">
      <alignment horizontal="left" vertical="center"/>
    </xf>
    <xf numFmtId="181" fontId="4" fillId="0" borderId="0" xfId="0" applyNumberFormat="1" applyFont="1" applyAlignment="1">
      <alignment horizontal="right"/>
    </xf>
    <xf numFmtId="165" fontId="57" fillId="0" borderId="0" xfId="109" applyNumberFormat="1" applyFont="1" applyFill="1" applyAlignment="1">
      <alignment horizontal="right"/>
    </xf>
    <xf numFmtId="181" fontId="57" fillId="0" borderId="0" xfId="0" applyNumberFormat="1" applyFont="1" applyAlignment="1">
      <alignment horizontal="right"/>
    </xf>
    <xf numFmtId="0" fontId="65" fillId="0" borderId="0" xfId="0" quotePrefix="1" applyFont="1" applyAlignment="1">
      <alignment horizontal="left" vertical="center"/>
    </xf>
    <xf numFmtId="181" fontId="61" fillId="0" borderId="0" xfId="0" applyNumberFormat="1" applyFont="1"/>
    <xf numFmtId="165" fontId="61" fillId="0" borderId="0" xfId="0" applyNumberFormat="1" applyFont="1"/>
    <xf numFmtId="0" fontId="3" fillId="0" borderId="0" xfId="0" applyFont="1" applyAlignment="1">
      <alignment horizontal="left" vertical="center"/>
    </xf>
    <xf numFmtId="3" fontId="3" fillId="0" borderId="0" xfId="0" applyNumberFormat="1" applyFont="1"/>
    <xf numFmtId="0" fontId="65" fillId="0" borderId="0" xfId="0" applyFont="1" applyAlignment="1">
      <alignment horizontal="left" vertical="center"/>
    </xf>
    <xf numFmtId="181" fontId="61" fillId="0" borderId="0" xfId="0" applyNumberFormat="1" applyFont="1" applyAlignment="1">
      <alignment horizontal="right"/>
    </xf>
    <xf numFmtId="10" fontId="57" fillId="0" borderId="0" xfId="0" applyNumberFormat="1" applyFont="1"/>
    <xf numFmtId="164" fontId="57" fillId="0" borderId="0" xfId="0" applyNumberFormat="1" applyFont="1"/>
    <xf numFmtId="165" fontId="61" fillId="0" borderId="7" xfId="0" applyNumberFormat="1" applyFont="1" applyBorder="1"/>
    <xf numFmtId="0" fontId="77" fillId="0" borderId="0" xfId="0" applyFont="1" applyAlignment="1">
      <alignment horizontal="right"/>
    </xf>
    <xf numFmtId="0" fontId="77" fillId="0" borderId="0" xfId="0" applyFont="1"/>
    <xf numFmtId="0" fontId="57" fillId="0" borderId="0" xfId="0" applyFont="1" applyAlignment="1">
      <alignment horizontal="left" vertical="center"/>
    </xf>
    <xf numFmtId="0" fontId="6" fillId="0" borderId="0" xfId="0" applyFont="1" applyAlignment="1">
      <alignment horizontal="right" vertical="center"/>
    </xf>
    <xf numFmtId="0" fontId="57" fillId="0" borderId="0" xfId="0" quotePrefix="1" applyFont="1" applyAlignment="1">
      <alignment horizontal="left" vertical="center"/>
    </xf>
    <xf numFmtId="0" fontId="6" fillId="0" borderId="0" xfId="0" quotePrefix="1" applyFont="1" applyAlignment="1">
      <alignment horizontal="left" vertical="center" wrapText="1"/>
    </xf>
    <xf numFmtId="0" fontId="7" fillId="0" borderId="0" xfId="0" quotePrefix="1" applyFont="1" applyAlignment="1">
      <alignment horizontal="left" vertical="center"/>
    </xf>
    <xf numFmtId="3" fontId="7" fillId="0" borderId="0" xfId="0" quotePrefix="1" applyNumberFormat="1" applyFont="1" applyAlignment="1">
      <alignment horizontal="right"/>
    </xf>
    <xf numFmtId="3" fontId="3" fillId="0" borderId="0" xfId="0" applyNumberFormat="1" applyFont="1" applyAlignment="1">
      <alignment horizontal="right" wrapText="1"/>
    </xf>
    <xf numFmtId="3" fontId="3" fillId="0" borderId="0" xfId="0" applyNumberFormat="1" applyFont="1" applyAlignment="1">
      <alignment horizontal="right"/>
    </xf>
    <xf numFmtId="0" fontId="6" fillId="0" borderId="0" xfId="0" applyFont="1" applyAlignment="1">
      <alignment vertical="center"/>
    </xf>
    <xf numFmtId="3" fontId="6" fillId="0" borderId="0" xfId="0" applyNumberFormat="1" applyFont="1" applyAlignment="1">
      <alignment horizontal="right"/>
    </xf>
    <xf numFmtId="3" fontId="8" fillId="0" borderId="0" xfId="0" applyNumberFormat="1" applyFont="1" applyAlignment="1">
      <alignment horizontal="right"/>
    </xf>
    <xf numFmtId="3" fontId="4" fillId="0" borderId="0" xfId="107" applyNumberFormat="1" applyFont="1" applyFill="1" applyAlignment="1" applyProtection="1">
      <alignment horizontal="right"/>
    </xf>
    <xf numFmtId="0" fontId="6" fillId="0" borderId="0" xfId="0" quotePrefix="1" applyFont="1" applyAlignment="1">
      <alignment horizontal="left" vertical="center"/>
    </xf>
    <xf numFmtId="164" fontId="4" fillId="0" borderId="0" xfId="0" quotePrefix="1" applyNumberFormat="1" applyFont="1" applyAlignment="1">
      <alignment horizontal="right" wrapText="1"/>
    </xf>
    <xf numFmtId="3" fontId="4" fillId="0" borderId="0" xfId="0" quotePrefix="1" applyNumberFormat="1" applyFont="1" applyAlignment="1">
      <alignment horizontal="right" wrapText="1"/>
    </xf>
    <xf numFmtId="0" fontId="6" fillId="0" borderId="0" xfId="0" applyFont="1" applyAlignment="1">
      <alignment vertical="center" wrapText="1"/>
    </xf>
    <xf numFmtId="3" fontId="6" fillId="0" borderId="0" xfId="0" applyNumberFormat="1" applyFont="1" applyAlignment="1">
      <alignment horizontal="right" wrapText="1"/>
    </xf>
    <xf numFmtId="164" fontId="3" fillId="0" borderId="0" xfId="0" quotePrefix="1" applyNumberFormat="1" applyFont="1" applyAlignment="1">
      <alignment horizontal="right" wrapText="1"/>
    </xf>
    <xf numFmtId="164" fontId="7" fillId="0" borderId="0" xfId="0" applyNumberFormat="1" applyFont="1" applyAlignment="1">
      <alignment horizontal="right"/>
    </xf>
    <xf numFmtId="3" fontId="6" fillId="0" borderId="0" xfId="0" quotePrefix="1" applyNumberFormat="1" applyFont="1" applyAlignment="1">
      <alignment horizontal="right"/>
    </xf>
    <xf numFmtId="3" fontId="4" fillId="0" borderId="0" xfId="0" quotePrefix="1" applyNumberFormat="1" applyFont="1" applyAlignment="1">
      <alignment horizontal="right"/>
    </xf>
    <xf numFmtId="3" fontId="3" fillId="0" borderId="0" xfId="0" quotePrefix="1" applyNumberFormat="1" applyFont="1" applyAlignment="1">
      <alignment horizontal="right"/>
    </xf>
    <xf numFmtId="0" fontId="0" fillId="0" borderId="7" xfId="0" applyBorder="1"/>
    <xf numFmtId="165" fontId="3" fillId="0" borderId="0" xfId="0" applyNumberFormat="1" applyFont="1" applyAlignment="1">
      <alignment vertical="center"/>
    </xf>
    <xf numFmtId="0" fontId="0" fillId="0" borderId="0" xfId="0" quotePrefix="1" applyAlignment="1">
      <alignment horizontal="left"/>
    </xf>
    <xf numFmtId="0" fontId="78" fillId="0" borderId="0" xfId="0" applyFont="1"/>
    <xf numFmtId="0" fontId="79" fillId="0" borderId="0" xfId="0" applyFont="1"/>
    <xf numFmtId="0" fontId="2" fillId="0" borderId="0" xfId="55" quotePrefix="1" applyFont="1" applyAlignment="1">
      <alignment horizontal="left" vertical="center"/>
    </xf>
    <xf numFmtId="165" fontId="4" fillId="0" borderId="0" xfId="55" quotePrefix="1" applyNumberFormat="1" applyFont="1" applyAlignment="1">
      <alignment horizontal="right" vertical="center"/>
    </xf>
    <xf numFmtId="0" fontId="81" fillId="0" borderId="7" xfId="0" applyFont="1" applyBorder="1"/>
    <xf numFmtId="0" fontId="81" fillId="0" borderId="7" xfId="0" applyFont="1" applyBorder="1" applyAlignment="1">
      <alignment horizontal="right"/>
    </xf>
    <xf numFmtId="0" fontId="81" fillId="0" borderId="7" xfId="0" applyFont="1" applyBorder="1" applyAlignment="1">
      <alignment horizontal="right" wrapText="1"/>
    </xf>
    <xf numFmtId="0" fontId="80" fillId="0" borderId="7" xfId="0" quotePrefix="1" applyFont="1" applyBorder="1" applyAlignment="1">
      <alignment horizontal="left"/>
    </xf>
    <xf numFmtId="0" fontId="80" fillId="0" borderId="7" xfId="0" applyFont="1" applyBorder="1" applyAlignment="1">
      <alignment horizontal="left"/>
    </xf>
    <xf numFmtId="0" fontId="81" fillId="0" borderId="0" xfId="0" applyFont="1"/>
    <xf numFmtId="0" fontId="81" fillId="0" borderId="0" xfId="0" applyFont="1" applyAlignment="1">
      <alignment horizontal="right"/>
    </xf>
    <xf numFmtId="0" fontId="81" fillId="0" borderId="0" xfId="0" applyFont="1" applyAlignment="1">
      <alignment horizontal="right" wrapText="1"/>
    </xf>
    <xf numFmtId="0" fontId="57" fillId="0" borderId="0" xfId="0" quotePrefix="1" applyFont="1" applyAlignment="1">
      <alignment horizontal="center" vertical="center"/>
    </xf>
    <xf numFmtId="0" fontId="83" fillId="0" borderId="0" xfId="0" applyFont="1"/>
    <xf numFmtId="184" fontId="57" fillId="0" borderId="0" xfId="0" applyNumberFormat="1" applyFont="1" applyAlignment="1">
      <alignment vertical="top"/>
    </xf>
    <xf numFmtId="184" fontId="57" fillId="0" borderId="0" xfId="0" applyNumberFormat="1" applyFont="1" applyAlignment="1">
      <alignment horizontal="right" vertical="top" wrapText="1"/>
    </xf>
    <xf numFmtId="184" fontId="57" fillId="0" borderId="0" xfId="0" applyNumberFormat="1" applyFont="1" applyAlignment="1">
      <alignment horizontal="right" vertical="top"/>
    </xf>
    <xf numFmtId="184" fontId="61" fillId="0" borderId="0" xfId="0" applyNumberFormat="1" applyFont="1" applyAlignment="1">
      <alignment vertical="top"/>
    </xf>
    <xf numFmtId="184" fontId="57" fillId="0" borderId="0" xfId="0" quotePrefix="1" applyNumberFormat="1" applyFont="1" applyAlignment="1">
      <alignment horizontal="left" vertical="top"/>
    </xf>
    <xf numFmtId="184" fontId="57" fillId="0" borderId="0" xfId="0" quotePrefix="1" applyNumberFormat="1" applyFont="1" applyAlignment="1">
      <alignment horizontal="left" vertical="center"/>
    </xf>
    <xf numFmtId="184" fontId="57" fillId="0" borderId="0" xfId="0" applyNumberFormat="1" applyFont="1" applyAlignment="1">
      <alignment vertical="center"/>
    </xf>
    <xf numFmtId="0" fontId="3" fillId="0" borderId="0" xfId="0" applyFont="1" applyAlignment="1">
      <alignment horizontal="right" vertical="center"/>
    </xf>
    <xf numFmtId="184" fontId="61" fillId="0" borderId="0" xfId="0" applyNumberFormat="1" applyFont="1" applyAlignment="1">
      <alignment vertical="center"/>
    </xf>
    <xf numFmtId="0" fontId="4" fillId="0" borderId="0" xfId="55" quotePrefix="1" applyFont="1" applyAlignment="1">
      <alignment horizontal="left" vertical="top"/>
    </xf>
    <xf numFmtId="185" fontId="78" fillId="0" borderId="0" xfId="0" applyNumberFormat="1" applyFont="1" applyAlignment="1">
      <alignment vertical="center"/>
    </xf>
    <xf numFmtId="0" fontId="59" fillId="0" borderId="0" xfId="0" quotePrefix="1" applyFont="1" applyAlignment="1">
      <alignment horizontal="left" vertical="top" wrapText="1"/>
    </xf>
    <xf numFmtId="185" fontId="84" fillId="0" borderId="0" xfId="0" applyNumberFormat="1" applyFont="1" applyAlignment="1">
      <alignment vertical="center"/>
    </xf>
    <xf numFmtId="0" fontId="57" fillId="0" borderId="0" xfId="0" quotePrefix="1" applyFont="1" applyAlignment="1">
      <alignment horizontal="left" vertical="top" wrapText="1"/>
    </xf>
    <xf numFmtId="0" fontId="8" fillId="0" borderId="0" xfId="55" quotePrefix="1" applyFont="1" applyAlignment="1">
      <alignment horizontal="left" vertical="top" wrapText="1"/>
    </xf>
    <xf numFmtId="0" fontId="61" fillId="0" borderId="0" xfId="0" quotePrefix="1" applyFont="1" applyAlignment="1">
      <alignment horizontal="left" vertical="top" wrapText="1"/>
    </xf>
    <xf numFmtId="185" fontId="79" fillId="0" borderId="0" xfId="0" applyNumberFormat="1" applyFont="1" applyAlignment="1">
      <alignment vertical="center"/>
    </xf>
    <xf numFmtId="0" fontId="79" fillId="0" borderId="7" xfId="0" applyFont="1" applyBorder="1"/>
    <xf numFmtId="0" fontId="78" fillId="0" borderId="7" xfId="0" applyFont="1" applyBorder="1"/>
    <xf numFmtId="0" fontId="57" fillId="0" borderId="0" xfId="0" applyFont="1" applyAlignment="1">
      <alignment horizontal="center" vertical="center"/>
    </xf>
    <xf numFmtId="0" fontId="57" fillId="0" borderId="7" xfId="0" applyFont="1" applyBorder="1" applyAlignment="1">
      <alignment horizontal="center" vertical="center"/>
    </xf>
    <xf numFmtId="3" fontId="7" fillId="0" borderId="0" xfId="0" applyNumberFormat="1" applyFont="1" applyAlignment="1">
      <alignment horizontal="right"/>
    </xf>
    <xf numFmtId="0" fontId="57" fillId="0" borderId="7" xfId="0" applyFont="1" applyBorder="1" applyAlignment="1">
      <alignment horizontal="right" vertical="center"/>
    </xf>
    <xf numFmtId="3" fontId="11" fillId="0" borderId="0" xfId="0" applyNumberFormat="1" applyFont="1" applyAlignment="1">
      <alignment horizontal="right"/>
    </xf>
    <xf numFmtId="0" fontId="51" fillId="0" borderId="0" xfId="0" quotePrefix="1" applyFont="1"/>
    <xf numFmtId="0" fontId="57" fillId="0" borderId="0" xfId="0" quotePrefix="1" applyFont="1" applyAlignment="1">
      <alignment vertical="center"/>
    </xf>
    <xf numFmtId="184" fontId="0" fillId="0" borderId="0" xfId="0" applyNumberFormat="1"/>
    <xf numFmtId="0" fontId="57" fillId="0" borderId="0" xfId="0" applyFont="1" applyAlignment="1">
      <alignment horizontal="center"/>
    </xf>
    <xf numFmtId="0" fontId="57" fillId="0" borderId="7" xfId="0" applyFont="1" applyBorder="1" applyAlignment="1">
      <alignment horizontal="right" wrapText="1"/>
    </xf>
    <xf numFmtId="0" fontId="57" fillId="0" borderId="7" xfId="0" applyFont="1" applyBorder="1" applyAlignment="1">
      <alignment vertical="center" wrapText="1"/>
    </xf>
    <xf numFmtId="0" fontId="57" fillId="0" borderId="0" xfId="0" applyFont="1" applyAlignment="1">
      <alignment horizontal="right" wrapText="1"/>
    </xf>
    <xf numFmtId="184" fontId="57" fillId="0" borderId="0" xfId="0" applyNumberFormat="1" applyFont="1" applyAlignment="1">
      <alignment horizontal="right" vertical="center"/>
    </xf>
    <xf numFmtId="184" fontId="61" fillId="0" borderId="0" xfId="0" applyNumberFormat="1" applyFont="1" applyAlignment="1">
      <alignment horizontal="right" vertical="center"/>
    </xf>
    <xf numFmtId="0" fontId="57" fillId="0" borderId="0" xfId="0" quotePrefix="1" applyFont="1" applyAlignment="1">
      <alignment horizontal="left"/>
    </xf>
    <xf numFmtId="0" fontId="46" fillId="0" borderId="0" xfId="0" applyFont="1"/>
    <xf numFmtId="0" fontId="47" fillId="0" borderId="7" xfId="49" applyFont="1" applyBorder="1" applyAlignment="1">
      <alignment vertical="center"/>
    </xf>
    <xf numFmtId="0" fontId="57" fillId="0" borderId="7" xfId="0" applyFont="1" applyBorder="1" applyAlignment="1">
      <alignment horizontal="right" vertical="center" wrapText="1"/>
    </xf>
    <xf numFmtId="185" fontId="57" fillId="0" borderId="0" xfId="0" applyNumberFormat="1" applyFont="1" applyAlignment="1">
      <alignment vertical="center"/>
    </xf>
    <xf numFmtId="185" fontId="59" fillId="0" borderId="0" xfId="0" applyNumberFormat="1" applyFont="1" applyAlignment="1">
      <alignment vertical="center"/>
    </xf>
    <xf numFmtId="185" fontId="61" fillId="0" borderId="0" xfId="0" applyNumberFormat="1" applyFont="1" applyAlignment="1">
      <alignment vertical="center"/>
    </xf>
    <xf numFmtId="3" fontId="6" fillId="0" borderId="0" xfId="0" applyNumberFormat="1" applyFont="1" applyAlignment="1">
      <alignment horizontal="right" vertical="center"/>
    </xf>
    <xf numFmtId="3" fontId="11" fillId="0" borderId="0" xfId="0" applyNumberFormat="1" applyFont="1" applyAlignment="1">
      <alignment horizontal="right" vertical="center"/>
    </xf>
    <xf numFmtId="3" fontId="7" fillId="0" borderId="0" xfId="0" applyNumberFormat="1" applyFont="1" applyAlignment="1">
      <alignment horizontal="right" vertical="center"/>
    </xf>
    <xf numFmtId="0" fontId="52" fillId="0" borderId="7" xfId="0" applyFont="1" applyBorder="1"/>
    <xf numFmtId="3" fontId="6" fillId="0" borderId="0" xfId="0" applyNumberFormat="1" applyFont="1" applyAlignment="1">
      <alignment vertical="center"/>
    </xf>
    <xf numFmtId="3" fontId="11" fillId="0" borderId="0" xfId="0" applyNumberFormat="1" applyFont="1" applyAlignment="1">
      <alignment vertical="center"/>
    </xf>
    <xf numFmtId="3" fontId="7" fillId="0" borderId="0" xfId="0" applyNumberFormat="1" applyFont="1" applyAlignment="1">
      <alignment vertical="center"/>
    </xf>
    <xf numFmtId="0" fontId="4" fillId="0" borderId="0" xfId="110" applyNumberFormat="1" applyFont="1" applyFill="1" applyBorder="1" applyAlignment="1">
      <alignment horizontal="left" vertical="center"/>
    </xf>
    <xf numFmtId="49" fontId="4" fillId="0" borderId="0" xfId="110" applyNumberFormat="1" applyFont="1" applyFill="1" applyBorder="1" applyAlignment="1">
      <alignment horizontal="left" vertical="center"/>
    </xf>
    <xf numFmtId="0" fontId="69" fillId="0" borderId="0" xfId="0" applyFont="1" applyAlignment="1">
      <alignment vertical="center"/>
    </xf>
    <xf numFmtId="0" fontId="8" fillId="0" borderId="0" xfId="49" quotePrefix="1" applyFont="1" applyAlignment="1">
      <alignment horizontal="left" vertical="center"/>
    </xf>
    <xf numFmtId="12" fontId="4" fillId="0" borderId="7" xfId="0" applyNumberFormat="1" applyFont="1" applyBorder="1" applyAlignment="1">
      <alignment horizontal="right" vertical="top" wrapText="1"/>
    </xf>
    <xf numFmtId="12" fontId="4" fillId="0" borderId="7" xfId="0" quotePrefix="1" applyNumberFormat="1" applyFont="1" applyBorder="1" applyAlignment="1">
      <alignment horizontal="right" vertical="top" wrapText="1"/>
    </xf>
    <xf numFmtId="0" fontId="51" fillId="0" borderId="0" xfId="0" quotePrefix="1" applyFont="1" applyAlignment="1">
      <alignment horizontal="left"/>
    </xf>
    <xf numFmtId="0" fontId="5" fillId="0" borderId="7" xfId="108" applyBorder="1"/>
    <xf numFmtId="0" fontId="4" fillId="0" borderId="7" xfId="108" applyFont="1" applyBorder="1" applyAlignment="1">
      <alignment horizontal="right" vertical="center"/>
    </xf>
    <xf numFmtId="0" fontId="5" fillId="0" borderId="0" xfId="108"/>
    <xf numFmtId="3" fontId="4" fillId="0" borderId="0" xfId="108" applyNumberFormat="1" applyFont="1" applyAlignment="1">
      <alignment horizontal="right" vertical="center"/>
    </xf>
    <xf numFmtId="3" fontId="3" fillId="0" borderId="0" xfId="108" applyNumberFormat="1" applyFont="1" applyAlignment="1">
      <alignment horizontal="right" vertical="center"/>
    </xf>
    <xf numFmtId="165" fontId="4" fillId="0" borderId="0" xfId="108" applyNumberFormat="1" applyFont="1" applyAlignment="1">
      <alignment vertical="center"/>
    </xf>
    <xf numFmtId="165" fontId="3" fillId="0" borderId="0" xfId="108" applyNumberFormat="1" applyFont="1" applyAlignment="1">
      <alignment vertical="center"/>
    </xf>
    <xf numFmtId="49" fontId="1" fillId="0" borderId="7" xfId="108" applyNumberFormat="1" applyFont="1" applyBorder="1" applyAlignment="1">
      <alignment horizontal="left" vertical="justify"/>
    </xf>
    <xf numFmtId="49" fontId="4" fillId="0" borderId="0" xfId="108" quotePrefix="1" applyNumberFormat="1" applyFont="1" applyAlignment="1">
      <alignment horizontal="left" vertical="center"/>
    </xf>
    <xf numFmtId="49" fontId="3" fillId="0" borderId="0" xfId="108" quotePrefix="1" applyNumberFormat="1" applyFont="1" applyAlignment="1">
      <alignment horizontal="left" vertical="center" wrapText="1"/>
    </xf>
    <xf numFmtId="0" fontId="5" fillId="0" borderId="0" xfId="108" applyAlignment="1">
      <alignment vertical="center"/>
    </xf>
    <xf numFmtId="49" fontId="3" fillId="0" borderId="0" xfId="108" quotePrefix="1" applyNumberFormat="1" applyFont="1" applyAlignment="1">
      <alignment horizontal="left" wrapText="1"/>
    </xf>
    <xf numFmtId="49" fontId="4" fillId="0" borderId="0" xfId="108" applyNumberFormat="1" applyFont="1" applyAlignment="1">
      <alignment horizontal="left" vertical="center" wrapText="1"/>
    </xf>
    <xf numFmtId="164" fontId="3" fillId="0" borderId="0" xfId="108" applyNumberFormat="1" applyFont="1" applyAlignment="1">
      <alignment vertical="center"/>
    </xf>
    <xf numFmtId="0" fontId="4" fillId="0" borderId="0" xfId="108" applyFont="1"/>
    <xf numFmtId="49" fontId="3" fillId="0" borderId="7" xfId="108" quotePrefix="1" applyNumberFormat="1" applyFont="1" applyBorder="1" applyAlignment="1">
      <alignment horizontal="left" wrapText="1"/>
    </xf>
    <xf numFmtId="0" fontId="4" fillId="0" borderId="0" xfId="108" applyFont="1" applyAlignment="1">
      <alignment vertical="center"/>
    </xf>
    <xf numFmtId="0" fontId="82" fillId="0" borderId="0" xfId="0" quotePrefix="1" applyFont="1" applyAlignment="1">
      <alignment horizontal="left"/>
    </xf>
    <xf numFmtId="0" fontId="82" fillId="0" borderId="0" xfId="0" quotePrefix="1" applyFont="1"/>
    <xf numFmtId="3" fontId="3" fillId="0" borderId="0" xfId="55" applyNumberFormat="1" applyFont="1" applyAlignment="1">
      <alignment horizontal="right" vertical="top"/>
    </xf>
    <xf numFmtId="0" fontId="0" fillId="0" borderId="0" xfId="0" applyAlignment="1">
      <alignment horizontal="center"/>
    </xf>
    <xf numFmtId="12" fontId="4" fillId="0" borderId="0" xfId="0" applyNumberFormat="1" applyFont="1" applyAlignment="1">
      <alignment horizontal="right" vertical="top" wrapText="1"/>
    </xf>
    <xf numFmtId="0" fontId="4" fillId="0" borderId="7" xfId="62" quotePrefix="1" applyFont="1" applyBorder="1" applyAlignment="1">
      <alignment horizontal="right" vertical="top" wrapText="1"/>
    </xf>
    <xf numFmtId="0" fontId="4" fillId="0" borderId="7" xfId="62" applyFont="1" applyBorder="1" applyAlignment="1">
      <alignment horizontal="right" vertical="top" wrapText="1"/>
    </xf>
    <xf numFmtId="0" fontId="4" fillId="0" borderId="0" xfId="49" quotePrefix="1" applyFont="1" applyAlignment="1">
      <alignment horizontal="center" vertical="center"/>
    </xf>
    <xf numFmtId="0" fontId="4" fillId="0" borderId="0" xfId="62" applyFont="1" applyAlignment="1">
      <alignment horizontal="right" vertical="top" wrapText="1"/>
    </xf>
    <xf numFmtId="0" fontId="58" fillId="0" borderId="0" xfId="0" applyFont="1" applyAlignment="1">
      <alignment horizontal="left" vertical="center" wrapText="1"/>
    </xf>
    <xf numFmtId="0" fontId="59" fillId="0" borderId="0" xfId="0" applyFont="1"/>
    <xf numFmtId="178" fontId="8" fillId="0" borderId="0" xfId="71" applyNumberFormat="1" applyFont="1" applyAlignment="1">
      <alignment horizontal="right" vertical="center"/>
    </xf>
    <xf numFmtId="0" fontId="60" fillId="0" borderId="0" xfId="0" applyFont="1" applyAlignment="1">
      <alignment horizontal="left" vertical="center" wrapText="1"/>
    </xf>
    <xf numFmtId="183" fontId="4" fillId="0" borderId="0" xfId="71" applyNumberFormat="1" applyFont="1" applyAlignment="1">
      <alignment horizontal="right" vertical="center"/>
    </xf>
    <xf numFmtId="179" fontId="4" fillId="0" borderId="0" xfId="71" applyNumberFormat="1" applyFont="1" applyAlignment="1">
      <alignment horizontal="right" vertical="center"/>
    </xf>
    <xf numFmtId="0" fontId="61" fillId="0" borderId="0" xfId="0" applyFont="1"/>
    <xf numFmtId="0" fontId="61" fillId="0" borderId="7" xfId="0" applyFont="1" applyBorder="1"/>
    <xf numFmtId="178" fontId="3" fillId="0" borderId="7" xfId="71" applyNumberFormat="1" applyFont="1" applyBorder="1" applyAlignment="1">
      <alignment horizontal="right" vertical="center"/>
    </xf>
    <xf numFmtId="167" fontId="3" fillId="0" borderId="7" xfId="71" applyNumberFormat="1" applyFont="1" applyBorder="1" applyAlignment="1">
      <alignment horizontal="right" vertical="center"/>
    </xf>
    <xf numFmtId="169" fontId="3" fillId="0" borderId="7" xfId="71" applyNumberFormat="1" applyFont="1" applyBorder="1" applyAlignment="1">
      <alignment horizontal="right" vertical="center"/>
    </xf>
    <xf numFmtId="0" fontId="26" fillId="0" borderId="7" xfId="56" applyBorder="1"/>
    <xf numFmtId="179" fontId="26" fillId="0" borderId="0" xfId="56" applyNumberFormat="1"/>
    <xf numFmtId="0" fontId="4" fillId="0" borderId="0" xfId="62" quotePrefix="1" applyFont="1" applyAlignment="1">
      <alignment horizontal="center" vertical="top" wrapText="1"/>
    </xf>
    <xf numFmtId="180" fontId="4" fillId="0" borderId="0" xfId="71" applyNumberFormat="1" applyFont="1" applyAlignment="1">
      <alignment horizontal="right" vertical="center"/>
    </xf>
    <xf numFmtId="180" fontId="8" fillId="0" borderId="0" xfId="71" applyNumberFormat="1" applyFont="1" applyAlignment="1">
      <alignment horizontal="right" vertical="center"/>
    </xf>
    <xf numFmtId="0" fontId="62" fillId="0" borderId="0" xfId="56" applyFont="1"/>
    <xf numFmtId="180" fontId="3" fillId="0" borderId="0" xfId="71" applyNumberFormat="1" applyFont="1" applyAlignment="1">
      <alignment horizontal="right" vertical="center"/>
    </xf>
    <xf numFmtId="0" fontId="42" fillId="0" borderId="0" xfId="56" applyFont="1"/>
    <xf numFmtId="180" fontId="3" fillId="0" borderId="7" xfId="71" applyNumberFormat="1" applyFont="1" applyBorder="1" applyAlignment="1">
      <alignment horizontal="right" vertical="center"/>
    </xf>
    <xf numFmtId="178" fontId="0" fillId="0" borderId="0" xfId="0" applyNumberFormat="1"/>
    <xf numFmtId="186" fontId="26" fillId="0" borderId="0" xfId="56" applyNumberFormat="1"/>
    <xf numFmtId="167" fontId="0" fillId="0" borderId="0" xfId="0" applyNumberFormat="1"/>
    <xf numFmtId="165" fontId="68" fillId="0" borderId="0" xfId="0" applyNumberFormat="1" applyFont="1"/>
    <xf numFmtId="0" fontId="4" fillId="0" borderId="0" xfId="0" applyFont="1" applyAlignment="1">
      <alignment horizontal="justify" vertical="center" wrapText="1"/>
    </xf>
    <xf numFmtId="187" fontId="0" fillId="38" borderId="19" xfId="0" applyNumberFormat="1" applyFill="1" applyBorder="1" applyAlignment="1">
      <alignment horizontal="right"/>
    </xf>
    <xf numFmtId="188" fontId="0" fillId="38" borderId="19" xfId="0" applyNumberFormat="1" applyFill="1" applyBorder="1" applyAlignment="1">
      <alignment horizontal="right"/>
    </xf>
    <xf numFmtId="165" fontId="5" fillId="0" borderId="0" xfId="108" applyNumberFormat="1" applyAlignment="1">
      <alignment vertical="center"/>
    </xf>
    <xf numFmtId="167" fontId="4" fillId="0" borderId="0" xfId="70" applyNumberFormat="1" applyFont="1" applyAlignment="1">
      <alignment vertical="center"/>
    </xf>
    <xf numFmtId="167" fontId="3" fillId="0" borderId="0" xfId="53" applyNumberFormat="1" applyFont="1" applyAlignment="1">
      <alignment vertical="center"/>
    </xf>
    <xf numFmtId="49" fontId="4" fillId="0" borderId="0" xfId="75" applyFont="1" applyAlignment="1">
      <alignment horizontal="center" vertical="center"/>
    </xf>
    <xf numFmtId="3" fontId="4" fillId="0" borderId="0" xfId="75" quotePrefix="1" applyNumberFormat="1" applyFont="1" applyAlignment="1">
      <alignment vertical="center"/>
    </xf>
    <xf numFmtId="0" fontId="4" fillId="0" borderId="0" xfId="0" applyFont="1" applyAlignment="1">
      <alignment horizontal="center" vertical="center" wrapText="1"/>
    </xf>
    <xf numFmtId="164" fontId="4" fillId="0" borderId="0" xfId="73" applyNumberFormat="1" applyFont="1" applyAlignment="1">
      <alignment horizontal="right" vertical="center"/>
    </xf>
    <xf numFmtId="2" fontId="3" fillId="0" borderId="0" xfId="75" applyNumberFormat="1" applyFont="1" applyAlignment="1">
      <alignment vertical="center"/>
    </xf>
    <xf numFmtId="3" fontId="0" fillId="0" borderId="0" xfId="0" applyNumberFormat="1"/>
    <xf numFmtId="0" fontId="2" fillId="0" borderId="0" xfId="0" quotePrefix="1" applyFont="1" applyAlignment="1">
      <alignment horizontal="left"/>
    </xf>
    <xf numFmtId="181" fontId="75" fillId="0" borderId="0" xfId="0" applyNumberFormat="1" applyFont="1" applyAlignment="1">
      <alignment horizontal="right"/>
    </xf>
    <xf numFmtId="3" fontId="75" fillId="0" borderId="0" xfId="0" applyNumberFormat="1" applyFont="1" applyAlignment="1">
      <alignment horizontal="right"/>
    </xf>
    <xf numFmtId="0" fontId="4" fillId="39" borderId="7" xfId="0" applyFont="1" applyFill="1" applyBorder="1" applyAlignment="1">
      <alignment horizontal="right" vertical="top" wrapText="1"/>
    </xf>
    <xf numFmtId="41" fontId="4" fillId="0" borderId="0" xfId="0" applyNumberFormat="1" applyFont="1" applyAlignment="1">
      <alignment horizontal="right"/>
    </xf>
    <xf numFmtId="41" fontId="4" fillId="0" borderId="0" xfId="0" applyNumberFormat="1" applyFont="1" applyAlignment="1">
      <alignment horizontal="right" vertical="center"/>
    </xf>
    <xf numFmtId="3" fontId="80" fillId="0" borderId="0" xfId="0" applyNumberFormat="1" applyFont="1"/>
    <xf numFmtId="0" fontId="68" fillId="0" borderId="0" xfId="0" applyFont="1"/>
    <xf numFmtId="0" fontId="57" fillId="0" borderId="7" xfId="0" applyFont="1" applyBorder="1" applyAlignment="1">
      <alignment horizontal="left" vertical="center"/>
    </xf>
    <xf numFmtId="0" fontId="4" fillId="0" borderId="0" xfId="0" quotePrefix="1" applyFont="1" applyAlignment="1">
      <alignment horizontal="justify" vertical="top"/>
    </xf>
    <xf numFmtId="0" fontId="4" fillId="0" borderId="0" xfId="49" applyFont="1" applyAlignment="1">
      <alignment horizontal="left" vertical="center" wrapText="1"/>
    </xf>
    <xf numFmtId="0" fontId="51" fillId="0" borderId="0" xfId="0" applyFont="1" applyAlignment="1">
      <alignment horizontal="left"/>
    </xf>
    <xf numFmtId="0" fontId="57" fillId="0" borderId="7" xfId="0" quotePrefix="1" applyFont="1" applyBorder="1" applyAlignment="1">
      <alignment horizontal="center" vertical="center"/>
    </xf>
    <xf numFmtId="165" fontId="0" fillId="0" borderId="0" xfId="0" applyNumberFormat="1"/>
    <xf numFmtId="182" fontId="2" fillId="0" borderId="0" xfId="0" applyNumberFormat="1" applyFont="1" applyAlignment="1">
      <alignment vertical="center"/>
    </xf>
    <xf numFmtId="0" fontId="47" fillId="0" borderId="0" xfId="49" quotePrefix="1" applyFont="1" applyAlignment="1">
      <alignment horizontal="right" vertical="center"/>
    </xf>
    <xf numFmtId="189" fontId="47" fillId="0" borderId="0" xfId="49" applyNumberFormat="1" applyFont="1" applyAlignment="1">
      <alignment vertical="center"/>
    </xf>
    <xf numFmtId="0" fontId="4" fillId="0" borderId="0" xfId="0" quotePrefix="1" applyFont="1" applyAlignment="1">
      <alignment horizontal="left" vertical="top"/>
    </xf>
    <xf numFmtId="0" fontId="78" fillId="0" borderId="0" xfId="0" applyFont="1" applyAlignment="1">
      <alignment horizontal="right" vertical="center"/>
    </xf>
    <xf numFmtId="0" fontId="85" fillId="0" borderId="0" xfId="0" applyFont="1" applyAlignment="1">
      <alignment vertical="center"/>
    </xf>
    <xf numFmtId="2" fontId="4" fillId="0" borderId="0" xfId="75" applyNumberFormat="1" applyFont="1" applyAlignment="1">
      <alignment vertical="center"/>
    </xf>
    <xf numFmtId="0" fontId="0" fillId="37" borderId="0" xfId="0" applyFill="1"/>
    <xf numFmtId="0" fontId="1" fillId="37" borderId="0" xfId="0" applyFont="1" applyFill="1" applyAlignment="1">
      <alignment vertical="center"/>
    </xf>
    <xf numFmtId="0" fontId="2" fillId="37" borderId="0" xfId="0" applyFont="1" applyFill="1"/>
    <xf numFmtId="0" fontId="1" fillId="37" borderId="0" xfId="0" applyFont="1" applyFill="1" applyAlignment="1">
      <alignment horizontal="left" vertical="center"/>
    </xf>
    <xf numFmtId="0" fontId="2" fillId="37" borderId="0" xfId="0" quotePrefix="1" applyFont="1" applyFill="1" applyAlignment="1">
      <alignment horizontal="left" vertical="center"/>
    </xf>
    <xf numFmtId="0" fontId="2" fillId="37" borderId="0" xfId="0" applyFont="1" applyFill="1" applyAlignment="1">
      <alignment vertical="center"/>
    </xf>
    <xf numFmtId="0" fontId="3" fillId="37" borderId="0" xfId="0" quotePrefix="1" applyFont="1" applyFill="1" applyAlignment="1">
      <alignment horizontal="left" vertical="center"/>
    </xf>
    <xf numFmtId="0" fontId="4" fillId="37" borderId="0" xfId="0" applyFont="1" applyFill="1" applyAlignment="1">
      <alignment vertical="center"/>
    </xf>
    <xf numFmtId="0" fontId="57" fillId="37" borderId="7" xfId="0" quotePrefix="1" applyFont="1" applyFill="1" applyBorder="1" applyAlignment="1">
      <alignment horizontal="right" vertical="top" wrapText="1"/>
    </xf>
    <xf numFmtId="0" fontId="57" fillId="37" borderId="0" xfId="0" applyFont="1" applyFill="1" applyAlignment="1">
      <alignment horizontal="left" vertical="center"/>
    </xf>
    <xf numFmtId="0" fontId="57" fillId="37" borderId="0" xfId="0" applyFont="1" applyFill="1" applyAlignment="1">
      <alignment horizontal="right" vertical="center"/>
    </xf>
    <xf numFmtId="0" fontId="57" fillId="37" borderId="0" xfId="0" applyFont="1" applyFill="1" applyAlignment="1">
      <alignment horizontal="center" vertical="center"/>
    </xf>
    <xf numFmtId="0" fontId="4" fillId="37" borderId="0" xfId="0" applyFont="1" applyFill="1" applyAlignment="1">
      <alignment horizontal="left" vertical="center"/>
    </xf>
    <xf numFmtId="0" fontId="61" fillId="37" borderId="0" xfId="0" applyFont="1" applyFill="1" applyAlignment="1">
      <alignment vertical="center"/>
    </xf>
    <xf numFmtId="3" fontId="3" fillId="37" borderId="0" xfId="0" applyNumberFormat="1" applyFont="1" applyFill="1"/>
    <xf numFmtId="165" fontId="3" fillId="37" borderId="0" xfId="109" applyNumberFormat="1" applyFont="1" applyFill="1" applyAlignment="1"/>
    <xf numFmtId="164" fontId="3" fillId="37" borderId="0" xfId="0" applyNumberFormat="1" applyFont="1" applyFill="1"/>
    <xf numFmtId="0" fontId="57" fillId="37" borderId="0" xfId="0" applyFont="1" applyFill="1" applyAlignment="1">
      <alignment vertical="center"/>
    </xf>
    <xf numFmtId="3" fontId="4" fillId="37" borderId="0" xfId="0" applyNumberFormat="1" applyFont="1" applyFill="1" applyAlignment="1">
      <alignment horizontal="center" vertical="center"/>
    </xf>
    <xf numFmtId="3" fontId="4" fillId="37" borderId="0" xfId="0" applyNumberFormat="1" applyFont="1" applyFill="1"/>
    <xf numFmtId="165" fontId="4" fillId="37" borderId="0" xfId="109" applyNumberFormat="1" applyFont="1" applyFill="1" applyAlignment="1"/>
    <xf numFmtId="164" fontId="4" fillId="37" borderId="0" xfId="0" applyNumberFormat="1" applyFont="1" applyFill="1"/>
    <xf numFmtId="0" fontId="59" fillId="37" borderId="0" xfId="0" applyFont="1" applyFill="1" applyAlignment="1">
      <alignment horizontal="left" vertical="center" wrapText="1"/>
    </xf>
    <xf numFmtId="3" fontId="8" fillId="37" borderId="0" xfId="0" applyNumberFormat="1" applyFont="1" applyFill="1"/>
    <xf numFmtId="0" fontId="58" fillId="37" borderId="0" xfId="0" applyFont="1" applyFill="1" applyAlignment="1">
      <alignment vertical="center" wrapText="1"/>
    </xf>
    <xf numFmtId="165" fontId="0" fillId="37" borderId="0" xfId="0" applyNumberFormat="1" applyFill="1"/>
    <xf numFmtId="0" fontId="65" fillId="37" borderId="0" xfId="0" applyFont="1" applyFill="1" applyAlignment="1">
      <alignment vertical="center"/>
    </xf>
    <xf numFmtId="3" fontId="0" fillId="37" borderId="0" xfId="0" applyNumberFormat="1" applyFill="1"/>
    <xf numFmtId="0" fontId="57" fillId="37" borderId="0" xfId="0" quotePrefix="1" applyFont="1" applyFill="1" applyAlignment="1">
      <alignment horizontal="left" vertical="center" wrapText="1"/>
    </xf>
    <xf numFmtId="0" fontId="57" fillId="37" borderId="0" xfId="0" applyFont="1" applyFill="1" applyAlignment="1">
      <alignment horizontal="left" wrapText="1"/>
    </xf>
    <xf numFmtId="0" fontId="52" fillId="37" borderId="0" xfId="0" applyFont="1" applyFill="1"/>
    <xf numFmtId="3" fontId="4" fillId="37" borderId="0" xfId="0" applyNumberFormat="1" applyFont="1" applyFill="1" applyAlignment="1">
      <alignment vertical="center"/>
    </xf>
    <xf numFmtId="3" fontId="4" fillId="37" borderId="0" xfId="0" applyNumberFormat="1" applyFont="1" applyFill="1" applyAlignment="1">
      <alignment horizontal="right"/>
    </xf>
    <xf numFmtId="0" fontId="57" fillId="37" borderId="0" xfId="0" applyFont="1" applyFill="1" applyAlignment="1">
      <alignment wrapText="1"/>
    </xf>
    <xf numFmtId="3" fontId="4" fillId="37" borderId="0" xfId="0" applyNumberFormat="1" applyFont="1" applyFill="1" applyAlignment="1">
      <alignment horizontal="right" wrapText="1"/>
    </xf>
    <xf numFmtId="3" fontId="3" fillId="37" borderId="0" xfId="0" applyNumberFormat="1" applyFont="1" applyFill="1" applyAlignment="1">
      <alignment horizontal="right"/>
    </xf>
    <xf numFmtId="3" fontId="63" fillId="37" borderId="0" xfId="0" applyNumberFormat="1" applyFont="1" applyFill="1"/>
    <xf numFmtId="0" fontId="63" fillId="37" borderId="0" xfId="0" applyFont="1" applyFill="1"/>
    <xf numFmtId="3" fontId="4" fillId="37" borderId="0" xfId="0" applyNumberFormat="1" applyFont="1" applyFill="1" applyAlignment="1">
      <alignment vertical="center" wrapText="1"/>
    </xf>
    <xf numFmtId="0" fontId="61" fillId="37" borderId="0" xfId="0" quotePrefix="1" applyFont="1" applyFill="1" applyAlignment="1">
      <alignment horizontal="left" vertical="center"/>
    </xf>
    <xf numFmtId="0" fontId="4" fillId="37" borderId="7" xfId="0" applyFont="1" applyFill="1" applyBorder="1" applyAlignment="1">
      <alignment vertical="center"/>
    </xf>
    <xf numFmtId="3" fontId="4" fillId="37" borderId="7" xfId="0" applyNumberFormat="1" applyFont="1" applyFill="1" applyBorder="1" applyAlignment="1">
      <alignment vertical="center"/>
    </xf>
    <xf numFmtId="3" fontId="4" fillId="37" borderId="7" xfId="0" applyNumberFormat="1" applyFont="1" applyFill="1" applyBorder="1"/>
    <xf numFmtId="0" fontId="4" fillId="37" borderId="0" xfId="0" applyFont="1" applyFill="1"/>
    <xf numFmtId="165" fontId="8" fillId="37" borderId="0" xfId="109" applyNumberFormat="1" applyFont="1" applyFill="1" applyAlignment="1"/>
    <xf numFmtId="164" fontId="8" fillId="37" borderId="0" xfId="0" applyNumberFormat="1" applyFont="1" applyFill="1"/>
    <xf numFmtId="0" fontId="4" fillId="37" borderId="0" xfId="0" applyFont="1" applyFill="1" applyAlignment="1">
      <alignment horizontal="justify" vertical="center" wrapText="1"/>
    </xf>
    <xf numFmtId="0" fontId="0" fillId="37" borderId="0" xfId="0" applyFill="1" applyAlignment="1">
      <alignment vertical="center"/>
    </xf>
    <xf numFmtId="0" fontId="0" fillId="0" borderId="0" xfId="0" applyAlignment="1">
      <alignment horizontal="left"/>
    </xf>
    <xf numFmtId="0" fontId="78" fillId="0" borderId="0" xfId="0" quotePrefix="1" applyFont="1" applyAlignment="1">
      <alignment vertical="top" wrapText="1"/>
    </xf>
    <xf numFmtId="0" fontId="5" fillId="0" borderId="0" xfId="53" applyFill="1"/>
    <xf numFmtId="0" fontId="2" fillId="0" borderId="0" xfId="53" applyFont="1" applyFill="1" applyAlignment="1">
      <alignment vertical="center"/>
    </xf>
    <xf numFmtId="0" fontId="3" fillId="0" borderId="0" xfId="53" applyFont="1" applyFill="1" applyAlignment="1">
      <alignment vertical="center"/>
    </xf>
    <xf numFmtId="49" fontId="4" fillId="0" borderId="0" xfId="75" applyFont="1" applyFill="1" applyAlignment="1">
      <alignment horizontal="right" vertical="center"/>
    </xf>
    <xf numFmtId="167" fontId="4" fillId="0" borderId="0" xfId="71" applyNumberFormat="1" applyFont="1" applyFill="1" applyAlignment="1">
      <alignment horizontal="right" vertical="center"/>
    </xf>
    <xf numFmtId="3" fontId="3" fillId="0" borderId="0" xfId="75" applyNumberFormat="1" applyFont="1" applyFill="1" applyAlignment="1">
      <alignment vertical="center"/>
    </xf>
    <xf numFmtId="3" fontId="4" fillId="0" borderId="0" xfId="75" applyNumberFormat="1" applyFont="1" applyFill="1" applyAlignment="1">
      <alignment vertical="center"/>
    </xf>
    <xf numFmtId="167" fontId="3" fillId="0" borderId="0" xfId="71" applyNumberFormat="1" applyFont="1" applyFill="1" applyAlignment="1">
      <alignment horizontal="right" vertical="center"/>
    </xf>
    <xf numFmtId="1" fontId="4" fillId="0" borderId="7" xfId="75" applyNumberFormat="1" applyFont="1" applyFill="1" applyBorder="1" applyAlignment="1">
      <alignment vertical="center"/>
    </xf>
    <xf numFmtId="49" fontId="4" fillId="0" borderId="0" xfId="75" applyFont="1" applyFill="1" applyAlignment="1">
      <alignment vertical="center"/>
    </xf>
    <xf numFmtId="0" fontId="4" fillId="0" borderId="21" xfId="0" applyFont="1" applyBorder="1" applyAlignment="1">
      <alignment horizontal="right" vertical="center"/>
    </xf>
    <xf numFmtId="0" fontId="58" fillId="0" borderId="21" xfId="0" quotePrefix="1" applyFont="1" applyBorder="1" applyAlignment="1">
      <alignment horizontal="right" vertical="top" wrapText="1"/>
    </xf>
    <xf numFmtId="0" fontId="58" fillId="0" borderId="20" xfId="0" applyFont="1" applyBorder="1"/>
    <xf numFmtId="3" fontId="4" fillId="0" borderId="20" xfId="0" applyNumberFormat="1" applyFont="1" applyBorder="1" applyAlignment="1">
      <alignment horizontal="right"/>
    </xf>
    <xf numFmtId="0" fontId="57" fillId="0" borderId="20" xfId="0" applyFont="1" applyBorder="1" applyAlignment="1">
      <alignment horizontal="left" vertical="center"/>
    </xf>
    <xf numFmtId="0" fontId="4" fillId="0" borderId="21" xfId="0" applyFont="1" applyBorder="1" applyAlignment="1">
      <alignment horizontal="right" vertical="top"/>
    </xf>
    <xf numFmtId="0" fontId="4" fillId="0" borderId="20" xfId="0" applyFont="1" applyBorder="1" applyAlignment="1">
      <alignment horizontal="right" vertical="top"/>
    </xf>
    <xf numFmtId="0" fontId="4" fillId="0" borderId="21" xfId="0" quotePrefix="1" applyFont="1" applyBorder="1" applyAlignment="1">
      <alignment horizontal="right" vertical="top" wrapText="1"/>
    </xf>
    <xf numFmtId="0" fontId="4" fillId="37" borderId="20" xfId="0" applyFont="1" applyFill="1" applyBorder="1" applyAlignment="1">
      <alignment horizontal="center" vertical="center" wrapText="1"/>
    </xf>
    <xf numFmtId="0" fontId="57" fillId="37" borderId="21" xfId="0" quotePrefix="1" applyFont="1" applyFill="1" applyBorder="1" applyAlignment="1">
      <alignment horizontal="right" vertical="top" wrapText="1"/>
    </xf>
    <xf numFmtId="0" fontId="58" fillId="37" borderId="21" xfId="0" quotePrefix="1" applyFont="1" applyFill="1" applyBorder="1" applyAlignment="1">
      <alignment horizontal="right" vertical="top" wrapText="1"/>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7" fillId="0" borderId="21" xfId="49" applyFont="1" applyBorder="1" applyAlignment="1">
      <alignment vertical="center"/>
    </xf>
    <xf numFmtId="49" fontId="4" fillId="0" borderId="21" xfId="108" quotePrefix="1" applyNumberFormat="1" applyFont="1" applyBorder="1" applyAlignment="1">
      <alignment vertical="center"/>
    </xf>
    <xf numFmtId="0" fontId="4" fillId="0" borderId="21" xfId="108" applyFont="1" applyBorder="1" applyAlignment="1">
      <alignment horizontal="right" vertical="center"/>
    </xf>
    <xf numFmtId="0" fontId="4" fillId="0" borderId="20" xfId="55" applyFont="1" applyBorder="1"/>
    <xf numFmtId="0" fontId="57" fillId="0" borderId="20" xfId="0" quotePrefix="1" applyFont="1" applyBorder="1" applyAlignment="1">
      <alignment horizontal="center" vertical="center"/>
    </xf>
    <xf numFmtId="0" fontId="4" fillId="0" borderId="21" xfId="0" applyFont="1" applyBorder="1" applyAlignment="1">
      <alignment horizontal="center" vertical="center" wrapText="1"/>
    </xf>
    <xf numFmtId="0" fontId="0" fillId="0" borderId="20" xfId="0" applyBorder="1"/>
    <xf numFmtId="0" fontId="57" fillId="0" borderId="21" xfId="0" applyFont="1" applyBorder="1" applyAlignment="1">
      <alignment horizontal="right" vertical="center" wrapText="1"/>
    </xf>
    <xf numFmtId="0" fontId="4" fillId="0" borderId="20" xfId="70" applyFont="1" applyBorder="1" applyAlignment="1">
      <alignment vertical="center"/>
    </xf>
    <xf numFmtId="3" fontId="4" fillId="0" borderId="20" xfId="70" applyNumberFormat="1" applyFont="1" applyBorder="1" applyAlignment="1">
      <alignment vertical="center"/>
    </xf>
    <xf numFmtId="0" fontId="4" fillId="0" borderId="20" xfId="53" applyFont="1" applyBorder="1" applyAlignment="1">
      <alignment horizontal="center" vertical="center" wrapText="1"/>
    </xf>
    <xf numFmtId="0" fontId="4" fillId="0" borderId="20" xfId="53" applyFont="1" applyBorder="1" applyAlignment="1">
      <alignment horizontal="center" vertical="top" wrapText="1"/>
    </xf>
    <xf numFmtId="49" fontId="4" fillId="0" borderId="20" xfId="73" applyFont="1" applyBorder="1" applyAlignment="1">
      <alignment horizontal="center" vertical="center"/>
    </xf>
    <xf numFmtId="49" fontId="4" fillId="0" borderId="20" xfId="73" applyFont="1" applyBorder="1" applyAlignment="1">
      <alignment horizontal="center" vertical="center" wrapText="1"/>
    </xf>
    <xf numFmtId="49" fontId="4" fillId="0" borderId="20" xfId="73" applyFont="1" applyBorder="1" applyAlignment="1">
      <alignment horizontal="right" vertical="top" wrapText="1"/>
    </xf>
    <xf numFmtId="49" fontId="4" fillId="0" borderId="20" xfId="75" applyFont="1" applyBorder="1" applyAlignment="1">
      <alignment horizontal="centerContinuous" vertical="center"/>
    </xf>
    <xf numFmtId="49" fontId="4" fillId="0" borderId="20" xfId="75" applyFont="1" applyBorder="1" applyAlignment="1">
      <alignment horizontal="right" vertical="center" wrapText="1"/>
    </xf>
    <xf numFmtId="49" fontId="4" fillId="0" borderId="20" xfId="75" applyFont="1" applyBorder="1" applyAlignment="1">
      <alignment horizontal="center" vertical="center"/>
    </xf>
    <xf numFmtId="0" fontId="4" fillId="0" borderId="20" xfId="49" applyFont="1" applyBorder="1" applyAlignment="1">
      <alignment horizontal="center" vertical="center" wrapText="1"/>
    </xf>
    <xf numFmtId="0" fontId="4" fillId="0" borderId="20" xfId="62" quotePrefix="1" applyFont="1" applyBorder="1" applyAlignment="1">
      <alignment horizontal="center" vertical="top" wrapText="1"/>
    </xf>
    <xf numFmtId="0" fontId="4" fillId="0" borderId="21" xfId="62" applyFont="1" applyBorder="1" applyAlignment="1">
      <alignment horizontal="center" vertical="center" wrapText="1"/>
    </xf>
    <xf numFmtId="0" fontId="4" fillId="0" borderId="20" xfId="49" applyFont="1" applyBorder="1" applyAlignment="1">
      <alignment horizontal="center" vertical="top" wrapText="1"/>
    </xf>
    <xf numFmtId="0" fontId="4" fillId="0" borderId="0" xfId="0" applyFont="1" applyAlignment="1">
      <alignment horizontal="center" vertical="center"/>
    </xf>
    <xf numFmtId="0" fontId="4" fillId="0" borderId="20" xfId="0" applyFont="1" applyBorder="1" applyAlignment="1">
      <alignment horizontal="left" vertical="center" wrapText="1"/>
    </xf>
    <xf numFmtId="0" fontId="4" fillId="0" borderId="7" xfId="0" applyFont="1" applyBorder="1" applyAlignment="1">
      <alignment horizontal="left" vertical="center" wrapText="1"/>
    </xf>
    <xf numFmtId="0" fontId="4" fillId="0" borderId="21" xfId="0" applyFont="1" applyBorder="1" applyAlignment="1">
      <alignment horizontal="center" vertical="center"/>
    </xf>
    <xf numFmtId="0" fontId="4" fillId="0" borderId="0" xfId="0" applyFont="1" applyAlignment="1">
      <alignment horizontal="center" vertical="center" wrapText="1"/>
    </xf>
    <xf numFmtId="0" fontId="4" fillId="0" borderId="0" xfId="0" quotePrefix="1" applyFont="1" applyAlignment="1">
      <alignment horizontal="left" vertical="center" wrapText="1"/>
    </xf>
    <xf numFmtId="0" fontId="4" fillId="0" borderId="0" xfId="0" quotePrefix="1" applyFont="1" applyAlignment="1">
      <alignment horizontal="justify" vertical="center" wrapText="1"/>
    </xf>
    <xf numFmtId="0" fontId="4" fillId="0" borderId="0" xfId="0" quotePrefix="1" applyFont="1" applyAlignment="1">
      <alignment horizontal="left" vertical="center"/>
    </xf>
    <xf numFmtId="0" fontId="57" fillId="0" borderId="0" xfId="0" quotePrefix="1" applyFont="1" applyAlignment="1">
      <alignment horizontal="justify" vertical="center" wrapText="1"/>
    </xf>
    <xf numFmtId="165" fontId="4" fillId="0" borderId="0" xfId="0" applyNumberFormat="1" applyFont="1" applyAlignment="1">
      <alignment horizontal="center" vertical="center"/>
    </xf>
    <xf numFmtId="3" fontId="4" fillId="0" borderId="0" xfId="0" applyNumberFormat="1" applyFont="1" applyAlignment="1">
      <alignment horizontal="center" vertical="center"/>
    </xf>
    <xf numFmtId="0" fontId="57" fillId="0" borderId="0" xfId="0" quotePrefix="1" applyFont="1" applyAlignment="1">
      <alignment horizontal="left" vertical="center" wrapText="1"/>
    </xf>
    <xf numFmtId="0" fontId="4" fillId="0" borderId="20" xfId="49" applyFont="1" applyBorder="1" applyAlignment="1">
      <alignment horizontal="left" vertical="center" wrapText="1"/>
    </xf>
    <xf numFmtId="0" fontId="4" fillId="0" borderId="7" xfId="49" applyFont="1" applyBorder="1" applyAlignment="1">
      <alignment horizontal="left" vertical="center" wrapText="1"/>
    </xf>
    <xf numFmtId="0" fontId="4" fillId="0" borderId="21" xfId="49" applyFont="1" applyBorder="1" applyAlignment="1">
      <alignment horizontal="center" vertical="center"/>
    </xf>
    <xf numFmtId="0" fontId="4" fillId="0" borderId="20" xfId="49" applyFont="1" applyBorder="1" applyAlignment="1">
      <alignment horizontal="center" vertical="center"/>
    </xf>
    <xf numFmtId="0" fontId="4" fillId="0" borderId="0" xfId="49" quotePrefix="1" applyFont="1" applyAlignment="1">
      <alignment horizontal="center" vertical="center"/>
    </xf>
    <xf numFmtId="0" fontId="4" fillId="0" borderId="0" xfId="49" applyFont="1" applyAlignment="1">
      <alignment horizontal="center" vertical="center"/>
    </xf>
    <xf numFmtId="0" fontId="58" fillId="0" borderId="0" xfId="0" applyFont="1" applyAlignment="1">
      <alignment horizontal="center" vertical="center"/>
    </xf>
    <xf numFmtId="0" fontId="58" fillId="0" borderId="20" xfId="0" applyFont="1" applyBorder="1" applyAlignment="1">
      <alignment horizontal="left" vertical="center"/>
    </xf>
    <xf numFmtId="0" fontId="58" fillId="0" borderId="7" xfId="0" applyFont="1" applyBorder="1" applyAlignment="1">
      <alignment horizontal="left" vertical="center"/>
    </xf>
    <xf numFmtId="0" fontId="4" fillId="0" borderId="21" xfId="0" applyFont="1" applyBorder="1" applyAlignment="1">
      <alignment horizontal="center" vertical="center" wrapText="1"/>
    </xf>
    <xf numFmtId="0" fontId="4" fillId="0" borderId="21" xfId="0" quotePrefix="1" applyFont="1" applyBorder="1" applyAlignment="1">
      <alignment horizontal="center" vertical="center" wrapText="1"/>
    </xf>
    <xf numFmtId="0" fontId="58" fillId="0" borderId="0" xfId="0" quotePrefix="1" applyFont="1" applyAlignment="1">
      <alignment horizontal="center" vertical="center"/>
    </xf>
    <xf numFmtId="0" fontId="4" fillId="37" borderId="0" xfId="0" quotePrefix="1" applyFont="1" applyFill="1" applyAlignment="1">
      <alignment horizontal="left" vertical="top" wrapText="1"/>
    </xf>
    <xf numFmtId="0" fontId="4" fillId="0" borderId="0" xfId="0" quotePrefix="1" applyFont="1" applyAlignment="1">
      <alignment horizontal="left" vertical="top" wrapText="1"/>
    </xf>
    <xf numFmtId="3" fontId="57" fillId="0" borderId="0" xfId="0" applyNumberFormat="1" applyFont="1" applyAlignment="1">
      <alignment horizontal="center"/>
    </xf>
    <xf numFmtId="3" fontId="57" fillId="0" borderId="0" xfId="0" quotePrefix="1" applyNumberFormat="1" applyFont="1" applyAlignment="1">
      <alignment horizontal="center"/>
    </xf>
    <xf numFmtId="3" fontId="4" fillId="0" borderId="0" xfId="0" quotePrefix="1" applyNumberFormat="1" applyFont="1" applyAlignment="1">
      <alignment horizontal="center"/>
    </xf>
    <xf numFmtId="0" fontId="4" fillId="0" borderId="21" xfId="0" applyFont="1" applyBorder="1" applyAlignment="1">
      <alignment horizontal="center" vertical="top" wrapText="1"/>
    </xf>
    <xf numFmtId="0" fontId="4" fillId="0" borderId="21" xfId="0" quotePrefix="1" applyFont="1" applyBorder="1" applyAlignment="1">
      <alignment horizontal="center" vertical="top" wrapText="1"/>
    </xf>
    <xf numFmtId="0" fontId="57" fillId="0" borderId="0" xfId="0" quotePrefix="1" applyFont="1" applyAlignment="1">
      <alignment horizontal="center" vertical="center"/>
    </xf>
    <xf numFmtId="0" fontId="6" fillId="0" borderId="0" xfId="0" applyFont="1" applyAlignment="1">
      <alignment horizontal="center" vertical="center"/>
    </xf>
    <xf numFmtId="0" fontId="4" fillId="37" borderId="0" xfId="0" applyFont="1" applyFill="1" applyAlignment="1">
      <alignment horizontal="left" vertical="center" wrapText="1"/>
    </xf>
    <xf numFmtId="0" fontId="4" fillId="37" borderId="0" xfId="0" quotePrefix="1" applyFont="1" applyFill="1" applyAlignment="1">
      <alignment horizontal="left" vertical="center" wrapText="1"/>
    </xf>
    <xf numFmtId="0" fontId="58" fillId="37" borderId="0" xfId="0" quotePrefix="1" applyFont="1" applyFill="1" applyAlignment="1">
      <alignment horizontal="left" vertical="center" wrapText="1"/>
    </xf>
    <xf numFmtId="0" fontId="58" fillId="37" borderId="0" xfId="0" applyFont="1" applyFill="1" applyAlignment="1">
      <alignment horizontal="left" vertical="center" wrapText="1"/>
    </xf>
    <xf numFmtId="0" fontId="57" fillId="37" borderId="20" xfId="0" applyFont="1" applyFill="1" applyBorder="1" applyAlignment="1">
      <alignment horizontal="left" vertical="center"/>
    </xf>
    <xf numFmtId="0" fontId="57" fillId="37" borderId="7" xfId="0" applyFont="1" applyFill="1" applyBorder="1" applyAlignment="1">
      <alignment horizontal="left" vertical="center"/>
    </xf>
    <xf numFmtId="0" fontId="4" fillId="37" borderId="21" xfId="0" applyFont="1" applyFill="1" applyBorder="1" applyAlignment="1">
      <alignment horizontal="center" vertical="center" wrapText="1"/>
    </xf>
    <xf numFmtId="0" fontId="4" fillId="37" borderId="21" xfId="0" quotePrefix="1" applyFont="1" applyFill="1" applyBorder="1" applyAlignment="1">
      <alignment horizontal="center" vertical="center" wrapText="1"/>
    </xf>
    <xf numFmtId="0" fontId="57" fillId="37" borderId="0" xfId="0" quotePrefix="1" applyFont="1" applyFill="1" applyAlignment="1">
      <alignment horizontal="center" vertical="center"/>
    </xf>
    <xf numFmtId="0" fontId="57" fillId="37" borderId="0" xfId="0" applyFont="1" applyFill="1" applyAlignment="1">
      <alignment horizontal="center" vertical="center"/>
    </xf>
    <xf numFmtId="3" fontId="4" fillId="37" borderId="0" xfId="0" applyNumberFormat="1" applyFont="1" applyFill="1" applyAlignment="1">
      <alignment horizontal="center" vertical="center"/>
    </xf>
    <xf numFmtId="0" fontId="57" fillId="0" borderId="0" xfId="0" applyFont="1" applyAlignment="1">
      <alignment horizontal="left" vertical="center" wrapText="1"/>
    </xf>
    <xf numFmtId="0" fontId="4" fillId="0" borderId="0" xfId="0" applyFont="1" applyAlignment="1">
      <alignment horizontal="justify" vertical="center"/>
    </xf>
    <xf numFmtId="0" fontId="4" fillId="0" borderId="0" xfId="0" applyFont="1" applyAlignment="1">
      <alignment horizontal="left" vertical="center" wrapText="1"/>
    </xf>
    <xf numFmtId="0" fontId="57" fillId="0" borderId="0" xfId="0" applyFont="1" applyAlignment="1">
      <alignment horizontal="left" wrapText="1"/>
    </xf>
    <xf numFmtId="0" fontId="4" fillId="0" borderId="0" xfId="0" applyFont="1" applyAlignment="1">
      <alignment horizontal="justify" vertical="center" wrapText="1"/>
    </xf>
    <xf numFmtId="0" fontId="4" fillId="0" borderId="0" xfId="0" quotePrefix="1" applyFont="1" applyAlignment="1">
      <alignment horizontal="center" vertical="justify" wrapText="1"/>
    </xf>
    <xf numFmtId="0" fontId="4" fillId="0" borderId="0" xfId="0" applyFont="1" applyAlignment="1">
      <alignment horizontal="justify" vertical="justify"/>
    </xf>
    <xf numFmtId="0" fontId="4" fillId="0" borderId="0" xfId="0" applyFont="1" applyAlignment="1">
      <alignment horizontal="justify" vertical="justify" wrapText="1"/>
    </xf>
    <xf numFmtId="0" fontId="4" fillId="37" borderId="0" xfId="0" applyFont="1" applyFill="1" applyAlignment="1">
      <alignment horizontal="justify" vertical="center" wrapText="1"/>
    </xf>
    <xf numFmtId="0" fontId="4" fillId="0" borderId="20" xfId="0" applyFont="1" applyBorder="1" applyAlignment="1">
      <alignment horizontal="left" vertical="center"/>
    </xf>
    <xf numFmtId="0" fontId="4" fillId="0" borderId="7" xfId="0" applyFont="1" applyBorder="1" applyAlignment="1">
      <alignment horizontal="left" vertical="center"/>
    </xf>
    <xf numFmtId="0" fontId="4" fillId="0" borderId="0" xfId="49" quotePrefix="1" applyFont="1" applyAlignment="1">
      <alignment horizontal="left" vertical="center" wrapText="1"/>
    </xf>
    <xf numFmtId="0" fontId="4" fillId="0" borderId="0" xfId="49" applyFont="1" applyAlignment="1">
      <alignment horizontal="left" vertical="center" wrapText="1"/>
    </xf>
    <xf numFmtId="0" fontId="1" fillId="0" borderId="0" xfId="0" applyFont="1" applyAlignment="1">
      <alignment horizontal="left" vertical="center" wrapText="1"/>
    </xf>
    <xf numFmtId="0" fontId="4" fillId="0" borderId="20" xfId="49" applyFont="1" applyBorder="1" applyAlignment="1">
      <alignment horizontal="right" vertical="center" wrapText="1"/>
    </xf>
    <xf numFmtId="0" fontId="4" fillId="0" borderId="7" xfId="49" applyFont="1" applyBorder="1" applyAlignment="1">
      <alignment horizontal="right" vertical="center" wrapText="1"/>
    </xf>
    <xf numFmtId="3" fontId="4" fillId="0" borderId="0" xfId="108" applyNumberFormat="1" applyFont="1" applyAlignment="1">
      <alignment horizontal="center" vertical="center"/>
    </xf>
    <xf numFmtId="0" fontId="57" fillId="0" borderId="0" xfId="0" quotePrefix="1" applyFont="1" applyAlignment="1">
      <alignment horizontal="left" vertical="top" wrapText="1"/>
    </xf>
    <xf numFmtId="0" fontId="4" fillId="0" borderId="0" xfId="0" applyFont="1" applyAlignment="1">
      <alignment horizontal="left" vertical="top" wrapText="1"/>
    </xf>
    <xf numFmtId="0" fontId="1" fillId="0" borderId="0" xfId="55" applyFont="1" applyAlignment="1">
      <alignment horizontal="left" vertical="center" wrapText="1"/>
    </xf>
    <xf numFmtId="0" fontId="4" fillId="0" borderId="20" xfId="55" quotePrefix="1" applyFont="1" applyBorder="1" applyAlignment="1">
      <alignment horizontal="left" vertical="center" wrapText="1"/>
    </xf>
    <xf numFmtId="0" fontId="4" fillId="0" borderId="7" xfId="55" applyFont="1" applyBorder="1" applyAlignment="1">
      <alignment horizontal="left" vertical="center" wrapText="1"/>
    </xf>
    <xf numFmtId="0" fontId="4" fillId="0" borderId="21" xfId="55" quotePrefix="1" applyFont="1" applyBorder="1" applyAlignment="1">
      <alignment horizontal="center" vertical="center" wrapText="1"/>
    </xf>
    <xf numFmtId="0" fontId="4" fillId="0" borderId="21" xfId="55" applyFont="1" applyBorder="1" applyAlignment="1">
      <alignment horizontal="center" vertical="center" wrapText="1"/>
    </xf>
    <xf numFmtId="0" fontId="4" fillId="0" borderId="20" xfId="55" quotePrefix="1" applyFont="1" applyBorder="1" applyAlignment="1">
      <alignment horizontal="right" vertical="top" wrapText="1"/>
    </xf>
    <xf numFmtId="0" fontId="4" fillId="0" borderId="7" xfId="55" applyFont="1" applyBorder="1" applyAlignment="1">
      <alignment horizontal="right" vertical="top" wrapText="1"/>
    </xf>
    <xf numFmtId="0" fontId="4" fillId="0" borderId="0" xfId="55" applyFont="1" applyAlignment="1">
      <alignment horizontal="center"/>
    </xf>
    <xf numFmtId="0" fontId="4" fillId="0" borderId="0" xfId="55" applyFont="1" applyAlignment="1"/>
    <xf numFmtId="0" fontId="4" fillId="0" borderId="0" xfId="55" quotePrefix="1" applyFont="1" applyAlignment="1">
      <alignment horizontal="center" vertical="center"/>
    </xf>
    <xf numFmtId="0" fontId="4" fillId="0" borderId="0" xfId="55" quotePrefix="1" applyFont="1" applyAlignment="1">
      <alignment horizontal="center"/>
    </xf>
    <xf numFmtId="0" fontId="4" fillId="0" borderId="0" xfId="55" applyFont="1" applyAlignment="1">
      <alignment horizontal="left" vertical="center" wrapText="1"/>
    </xf>
    <xf numFmtId="0" fontId="57" fillId="0" borderId="0" xfId="0" applyFont="1" applyAlignment="1">
      <alignment horizontal="center"/>
    </xf>
    <xf numFmtId="0" fontId="78" fillId="0" borderId="0" xfId="0" quotePrefix="1" applyFont="1" applyAlignment="1">
      <alignment horizontal="left" vertical="top" wrapText="1"/>
    </xf>
    <xf numFmtId="0" fontId="51" fillId="0" borderId="0" xfId="0" quotePrefix="1" applyFont="1" applyAlignment="1">
      <alignment horizontal="left"/>
    </xf>
    <xf numFmtId="0" fontId="51" fillId="0" borderId="0" xfId="0" applyFont="1" applyAlignment="1">
      <alignment horizontal="left"/>
    </xf>
    <xf numFmtId="0" fontId="57" fillId="0" borderId="20" xfId="0" quotePrefix="1" applyFont="1" applyBorder="1" applyAlignment="1">
      <alignment horizontal="center" vertical="center"/>
    </xf>
    <xf numFmtId="0" fontId="57" fillId="0" borderId="7" xfId="0" quotePrefix="1" applyFont="1" applyBorder="1" applyAlignment="1">
      <alignment horizontal="center" vertical="center"/>
    </xf>
    <xf numFmtId="0" fontId="4" fillId="0" borderId="21" xfId="0" applyFont="1" applyBorder="1" applyAlignment="1">
      <alignment horizontal="center"/>
    </xf>
    <xf numFmtId="0" fontId="57" fillId="0" borderId="0" xfId="0" quotePrefix="1" applyFont="1" applyAlignment="1">
      <alignment horizontal="center"/>
    </xf>
    <xf numFmtId="0" fontId="57" fillId="0" borderId="0" xfId="0" quotePrefix="1" applyFont="1" applyAlignment="1">
      <alignment horizontal="left" wrapText="1"/>
    </xf>
    <xf numFmtId="0" fontId="57" fillId="0" borderId="7" xfId="0" applyFont="1" applyBorder="1" applyAlignment="1">
      <alignment horizontal="center" vertical="center"/>
    </xf>
    <xf numFmtId="0" fontId="57" fillId="0" borderId="21" xfId="0" quotePrefix="1" applyFont="1" applyBorder="1" applyAlignment="1">
      <alignment horizontal="center"/>
    </xf>
    <xf numFmtId="0" fontId="57" fillId="0" borderId="20" xfId="0" applyFont="1" applyBorder="1" applyAlignment="1">
      <alignment horizontal="center" vertical="center"/>
    </xf>
    <xf numFmtId="0" fontId="57" fillId="0" borderId="21" xfId="0" applyFont="1" applyBorder="1" applyAlignment="1">
      <alignment horizontal="center" vertical="center"/>
    </xf>
    <xf numFmtId="0" fontId="57" fillId="37" borderId="0" xfId="0" quotePrefix="1" applyFont="1" applyFill="1" applyAlignment="1">
      <alignment horizontal="left" vertical="justify" wrapText="1"/>
    </xf>
    <xf numFmtId="0" fontId="57" fillId="0" borderId="0" xfId="0" quotePrefix="1" applyFont="1" applyAlignment="1">
      <alignment horizontal="left" vertical="justify" wrapText="1"/>
    </xf>
    <xf numFmtId="0" fontId="57" fillId="0" borderId="0" xfId="0" applyFont="1" applyAlignment="1">
      <alignment horizontal="center" vertical="center"/>
    </xf>
    <xf numFmtId="0" fontId="57" fillId="0" borderId="21" xfId="0" applyFont="1" applyBorder="1" applyAlignment="1">
      <alignment horizontal="center"/>
    </xf>
    <xf numFmtId="49" fontId="4" fillId="0" borderId="0" xfId="70" quotePrefix="1" applyNumberFormat="1" applyFont="1" applyAlignment="1">
      <alignment horizontal="center" vertical="center"/>
    </xf>
    <xf numFmtId="0" fontId="4" fillId="0" borderId="0" xfId="70" quotePrefix="1" applyFont="1" applyAlignment="1">
      <alignment horizontal="left" vertical="center" wrapText="1"/>
    </xf>
    <xf numFmtId="0" fontId="4" fillId="0" borderId="0" xfId="70" applyFont="1" applyAlignment="1">
      <alignment horizontal="justify" vertical="center" wrapText="1"/>
    </xf>
    <xf numFmtId="0" fontId="1" fillId="0" borderId="0" xfId="53" applyFont="1" applyAlignment="1">
      <alignment horizontal="left" vertical="center" wrapText="1"/>
    </xf>
    <xf numFmtId="0" fontId="4" fillId="0" borderId="20" xfId="70" applyFont="1" applyBorder="1" applyAlignment="1">
      <alignment horizontal="left" vertical="center" wrapText="1"/>
    </xf>
    <xf numFmtId="0" fontId="4" fillId="0" borderId="0" xfId="70" applyFont="1" applyAlignment="1">
      <alignment horizontal="left" vertical="center"/>
    </xf>
    <xf numFmtId="0" fontId="4" fillId="0" borderId="7" xfId="70" applyFont="1" applyBorder="1" applyAlignment="1">
      <alignment horizontal="left" vertical="center"/>
    </xf>
    <xf numFmtId="0" fontId="4" fillId="0" borderId="20" xfId="70" applyFont="1" applyBorder="1" applyAlignment="1">
      <alignment horizontal="right" vertical="center" wrapText="1"/>
    </xf>
    <xf numFmtId="0" fontId="4" fillId="0" borderId="0" xfId="70" applyFont="1" applyAlignment="1">
      <alignment horizontal="right" vertical="center" wrapText="1"/>
    </xf>
    <xf numFmtId="0" fontId="4" fillId="0" borderId="7" xfId="70" applyFont="1" applyBorder="1" applyAlignment="1">
      <alignment horizontal="right" vertical="center" wrapText="1"/>
    </xf>
    <xf numFmtId="0" fontId="4" fillId="0" borderId="21" xfId="70" applyFont="1" applyBorder="1" applyAlignment="1">
      <alignment horizontal="center" vertical="center" wrapText="1"/>
    </xf>
    <xf numFmtId="0" fontId="4" fillId="0" borderId="0" xfId="70" quotePrefix="1" applyFont="1" applyAlignment="1">
      <alignment horizontal="right" vertical="top" wrapText="1"/>
    </xf>
    <xf numFmtId="0" fontId="4" fillId="0" borderId="7" xfId="70" applyFont="1" applyBorder="1" applyAlignment="1">
      <alignment horizontal="right" vertical="top" wrapText="1"/>
    </xf>
    <xf numFmtId="0" fontId="4" fillId="0" borderId="7" xfId="70" quotePrefix="1" applyFont="1" applyBorder="1" applyAlignment="1">
      <alignment horizontal="right" vertical="top" wrapText="1"/>
    </xf>
    <xf numFmtId="0" fontId="4" fillId="0" borderId="0" xfId="70" applyFont="1" applyAlignment="1">
      <alignment horizontal="right" vertical="top" wrapText="1"/>
    </xf>
    <xf numFmtId="0" fontId="4" fillId="0" borderId="0" xfId="53" quotePrefix="1" applyFont="1" applyAlignment="1">
      <alignment horizontal="center" vertical="center"/>
    </xf>
    <xf numFmtId="0" fontId="4" fillId="0" borderId="0" xfId="53" applyFont="1" applyAlignment="1">
      <alignment horizontal="center" vertical="center"/>
    </xf>
    <xf numFmtId="0" fontId="6" fillId="0" borderId="0" xfId="35" quotePrefix="1" applyFont="1" applyFill="1" applyAlignment="1">
      <alignment horizontal="left" vertical="center" wrapText="1"/>
    </xf>
    <xf numFmtId="0" fontId="1" fillId="0" borderId="0" xfId="53" quotePrefix="1" applyFont="1" applyAlignment="1">
      <alignment horizontal="left" vertical="center" wrapText="1"/>
    </xf>
    <xf numFmtId="0" fontId="4" fillId="0" borderId="20" xfId="53" applyFont="1" applyBorder="1" applyAlignment="1">
      <alignment horizontal="left" vertical="center" wrapText="1"/>
    </xf>
    <xf numFmtId="0" fontId="4" fillId="0" borderId="0" xfId="53" applyFont="1" applyAlignment="1">
      <alignment horizontal="left" vertical="center" wrapText="1"/>
    </xf>
    <xf numFmtId="0" fontId="4" fillId="0" borderId="7" xfId="53" applyFont="1" applyBorder="1" applyAlignment="1">
      <alignment horizontal="left" vertical="center" wrapText="1"/>
    </xf>
    <xf numFmtId="0" fontId="4" fillId="0" borderId="21" xfId="53" quotePrefix="1" applyFont="1" applyBorder="1" applyAlignment="1">
      <alignment horizontal="center" vertical="center" wrapText="1"/>
    </xf>
    <xf numFmtId="0" fontId="4" fillId="0" borderId="21" xfId="53" applyFont="1" applyBorder="1" applyAlignment="1">
      <alignment horizontal="center" vertical="center" wrapText="1"/>
    </xf>
    <xf numFmtId="0" fontId="4" fillId="0" borderId="21" xfId="53" applyFont="1" applyBorder="1" applyAlignment="1">
      <alignment horizontal="center" vertical="top" wrapText="1"/>
    </xf>
    <xf numFmtId="0" fontId="4" fillId="0" borderId="20" xfId="53" applyFont="1" applyBorder="1" applyAlignment="1">
      <alignment horizontal="right" vertical="top" wrapText="1"/>
    </xf>
    <xf numFmtId="0" fontId="4" fillId="0" borderId="7" xfId="53" applyFont="1" applyBorder="1" applyAlignment="1">
      <alignment horizontal="right" vertical="top" wrapText="1"/>
    </xf>
    <xf numFmtId="0" fontId="4" fillId="0" borderId="20" xfId="53" quotePrefix="1" applyFont="1" applyBorder="1" applyAlignment="1">
      <alignment horizontal="right" vertical="top" wrapText="1"/>
    </xf>
    <xf numFmtId="0" fontId="4" fillId="0" borderId="21" xfId="53" quotePrefix="1" applyFont="1" applyBorder="1" applyAlignment="1">
      <alignment horizontal="center" vertical="top" wrapText="1"/>
    </xf>
    <xf numFmtId="49" fontId="4" fillId="0" borderId="20" xfId="73" applyFont="1" applyBorder="1" applyAlignment="1">
      <alignment horizontal="left" vertical="center" wrapText="1"/>
    </xf>
    <xf numFmtId="49" fontId="4" fillId="0" borderId="0" xfId="73" applyFont="1" applyAlignment="1">
      <alignment horizontal="left" vertical="center" wrapText="1"/>
    </xf>
    <xf numFmtId="49" fontId="4" fillId="0" borderId="7" xfId="73" applyFont="1" applyBorder="1" applyAlignment="1">
      <alignment horizontal="left" vertical="center" wrapText="1"/>
    </xf>
    <xf numFmtId="49" fontId="4" fillId="0" borderId="21" xfId="73" applyFont="1" applyBorder="1" applyAlignment="1">
      <alignment horizontal="center" vertical="center"/>
    </xf>
    <xf numFmtId="49" fontId="4" fillId="0" borderId="21" xfId="73" applyFont="1" applyBorder="1" applyAlignment="1">
      <alignment horizontal="center" vertical="center" wrapText="1"/>
    </xf>
    <xf numFmtId="49" fontId="4" fillId="0" borderId="20" xfId="73" quotePrefix="1" applyFont="1" applyBorder="1" applyAlignment="1">
      <alignment horizontal="right" vertical="top" wrapText="1"/>
    </xf>
    <xf numFmtId="49" fontId="4" fillId="0" borderId="0" xfId="73" quotePrefix="1" applyFont="1" applyAlignment="1">
      <alignment horizontal="right" vertical="top" wrapText="1"/>
    </xf>
    <xf numFmtId="49" fontId="4" fillId="0" borderId="7" xfId="73" quotePrefix="1" applyFont="1" applyBorder="1" applyAlignment="1">
      <alignment horizontal="right" vertical="top" wrapText="1"/>
    </xf>
    <xf numFmtId="49" fontId="4" fillId="0" borderId="20" xfId="73" applyFont="1" applyBorder="1" applyAlignment="1">
      <alignment horizontal="right" vertical="top"/>
    </xf>
    <xf numFmtId="49" fontId="4" fillId="0" borderId="0" xfId="73" applyFont="1" applyAlignment="1">
      <alignment horizontal="right" vertical="top"/>
    </xf>
    <xf numFmtId="49" fontId="4" fillId="0" borderId="7" xfId="73" applyFont="1" applyBorder="1" applyAlignment="1">
      <alignment horizontal="right" vertical="top"/>
    </xf>
    <xf numFmtId="49" fontId="4" fillId="0" borderId="20" xfId="73" applyFont="1" applyBorder="1" applyAlignment="1">
      <alignment horizontal="right" vertical="top" wrapText="1"/>
    </xf>
    <xf numFmtId="49" fontId="4" fillId="0" borderId="0" xfId="73" applyFont="1" applyAlignment="1">
      <alignment horizontal="right" vertical="top" wrapText="1"/>
    </xf>
    <xf numFmtId="49" fontId="4" fillId="0" borderId="7" xfId="73" applyFont="1" applyBorder="1" applyAlignment="1">
      <alignment horizontal="right" vertical="top" wrapText="1"/>
    </xf>
    <xf numFmtId="49" fontId="4" fillId="0" borderId="0" xfId="75" quotePrefix="1" applyFont="1" applyAlignment="1">
      <alignment horizontal="justify" vertical="center" wrapText="1"/>
    </xf>
    <xf numFmtId="49" fontId="4" fillId="0" borderId="0" xfId="73" quotePrefix="1" applyFont="1" applyAlignment="1">
      <alignment horizontal="center" vertical="center"/>
    </xf>
    <xf numFmtId="49" fontId="4" fillId="0" borderId="0" xfId="75" quotePrefix="1" applyFont="1" applyAlignment="1">
      <alignment horizontal="left" vertical="center" wrapText="1"/>
    </xf>
    <xf numFmtId="0" fontId="4" fillId="0" borderId="0" xfId="75" quotePrefix="1" applyNumberFormat="1" applyFont="1" applyAlignment="1">
      <alignment horizontal="left" vertical="center" wrapText="1"/>
    </xf>
    <xf numFmtId="49" fontId="4" fillId="0" borderId="21" xfId="75" applyFont="1" applyBorder="1" applyAlignment="1">
      <alignment horizontal="center" vertical="center"/>
    </xf>
    <xf numFmtId="49" fontId="4" fillId="0" borderId="20" xfId="75" applyFont="1" applyBorder="1" applyAlignment="1">
      <alignment horizontal="right" vertical="top" wrapText="1"/>
    </xf>
    <xf numFmtId="49" fontId="4" fillId="0" borderId="7" xfId="75" applyFont="1" applyBorder="1" applyAlignment="1">
      <alignment horizontal="right" vertical="top" wrapText="1"/>
    </xf>
    <xf numFmtId="0" fontId="1" fillId="0" borderId="0" xfId="49" quotePrefix="1" applyFont="1" applyAlignment="1">
      <alignment horizontal="left" vertical="center" wrapText="1"/>
    </xf>
    <xf numFmtId="0" fontId="1" fillId="0" borderId="0" xfId="49" quotePrefix="1" applyFont="1" applyAlignment="1">
      <alignment horizontal="justify" vertical="center" wrapText="1"/>
    </xf>
    <xf numFmtId="49" fontId="4" fillId="0" borderId="20" xfId="75" quotePrefix="1" applyFont="1" applyBorder="1" applyAlignment="1">
      <alignment horizontal="left" vertical="center" wrapText="1"/>
    </xf>
    <xf numFmtId="49" fontId="4" fillId="0" borderId="0" xfId="75" applyFont="1" applyAlignment="1">
      <alignment horizontal="left" vertical="center" wrapText="1"/>
    </xf>
    <xf numFmtId="49" fontId="4" fillId="0" borderId="7" xfId="75" applyFont="1" applyBorder="1" applyAlignment="1">
      <alignment horizontal="left" vertical="center"/>
    </xf>
    <xf numFmtId="3" fontId="4" fillId="0" borderId="0" xfId="75" quotePrefix="1" applyNumberFormat="1" applyFont="1" applyAlignment="1">
      <alignment horizontal="center" vertical="center"/>
    </xf>
    <xf numFmtId="49" fontId="4" fillId="0" borderId="20" xfId="75" quotePrefix="1" applyFont="1" applyBorder="1" applyAlignment="1">
      <alignment horizontal="right" vertical="top" wrapText="1"/>
    </xf>
    <xf numFmtId="49" fontId="4" fillId="0" borderId="20" xfId="75" applyFont="1" applyFill="1" applyBorder="1" applyAlignment="1">
      <alignment horizontal="right" vertical="top" wrapText="1"/>
    </xf>
    <xf numFmtId="49" fontId="4" fillId="0" borderId="7" xfId="75" applyFont="1" applyFill="1" applyBorder="1" applyAlignment="1">
      <alignment horizontal="right" vertical="top" wrapText="1"/>
    </xf>
    <xf numFmtId="49" fontId="4" fillId="0" borderId="7" xfId="75" quotePrefix="1" applyFont="1" applyBorder="1" applyAlignment="1">
      <alignment horizontal="left" vertical="center" wrapText="1"/>
    </xf>
    <xf numFmtId="49" fontId="4" fillId="0" borderId="7" xfId="75" quotePrefix="1" applyFont="1" applyBorder="1" applyAlignment="1">
      <alignment horizontal="right" vertical="top" wrapText="1"/>
    </xf>
    <xf numFmtId="49" fontId="4" fillId="0" borderId="21" xfId="75" applyFont="1" applyBorder="1" applyAlignment="1">
      <alignment horizontal="center" vertical="top"/>
    </xf>
    <xf numFmtId="0" fontId="1" fillId="0" borderId="0" xfId="53" quotePrefix="1" applyFont="1" applyAlignment="1">
      <alignment horizontal="justify" vertical="center" wrapText="1"/>
    </xf>
    <xf numFmtId="3" fontId="4" fillId="0" borderId="0" xfId="75" applyNumberFormat="1" applyFont="1" applyAlignment="1">
      <alignment horizontal="center" vertical="center"/>
    </xf>
    <xf numFmtId="0" fontId="6" fillId="0" borderId="0" xfId="35" quotePrefix="1" applyFont="1" applyFill="1" applyAlignment="1">
      <alignment vertical="center" wrapText="1"/>
    </xf>
    <xf numFmtId="49" fontId="4" fillId="0" borderId="20" xfId="75" applyFont="1" applyBorder="1" applyAlignment="1">
      <alignment horizontal="left" vertical="center" wrapText="1"/>
    </xf>
    <xf numFmtId="49" fontId="4" fillId="0" borderId="0" xfId="73" quotePrefix="1" applyFont="1" applyAlignment="1">
      <alignment horizontal="center"/>
    </xf>
    <xf numFmtId="49" fontId="4" fillId="0" borderId="7" xfId="75" applyFont="1" applyBorder="1" applyAlignment="1">
      <alignment horizontal="left" vertical="center" wrapText="1"/>
    </xf>
    <xf numFmtId="0" fontId="53" fillId="0" borderId="0" xfId="56" quotePrefix="1" applyFont="1" applyAlignment="1">
      <alignment horizontal="left" wrapText="1"/>
    </xf>
    <xf numFmtId="0" fontId="4" fillId="0" borderId="20" xfId="49" quotePrefix="1" applyFont="1" applyBorder="1" applyAlignment="1">
      <alignment horizontal="left" vertical="center" wrapText="1"/>
    </xf>
    <xf numFmtId="0" fontId="4" fillId="0" borderId="7" xfId="49" quotePrefix="1" applyFont="1" applyBorder="1" applyAlignment="1">
      <alignment horizontal="left" vertical="center" wrapText="1"/>
    </xf>
    <xf numFmtId="0" fontId="4" fillId="0" borderId="21" xfId="49" applyFont="1" applyBorder="1" applyAlignment="1">
      <alignment horizontal="center" vertical="center" wrapText="1"/>
    </xf>
    <xf numFmtId="0" fontId="57" fillId="0" borderId="21" xfId="56" applyFont="1" applyBorder="1" applyAlignment="1">
      <alignment horizontal="center" wrapText="1"/>
    </xf>
    <xf numFmtId="0" fontId="4" fillId="0" borderId="20" xfId="62" quotePrefix="1" applyFont="1" applyBorder="1" applyAlignment="1">
      <alignment horizontal="right" vertical="top" wrapText="1"/>
    </xf>
    <xf numFmtId="0" fontId="4" fillId="0" borderId="7" xfId="62" quotePrefix="1" applyFont="1" applyBorder="1" applyAlignment="1">
      <alignment horizontal="right" vertical="top" wrapText="1"/>
    </xf>
    <xf numFmtId="0" fontId="4" fillId="0" borderId="20" xfId="62" applyFont="1" applyBorder="1" applyAlignment="1">
      <alignment horizontal="right" vertical="top" wrapText="1"/>
    </xf>
    <xf numFmtId="0" fontId="4" fillId="0" borderId="7" xfId="62" applyFont="1" applyBorder="1" applyAlignment="1">
      <alignment horizontal="right" vertical="top" wrapText="1"/>
    </xf>
    <xf numFmtId="0" fontId="4" fillId="0" borderId="20" xfId="49" applyFont="1" applyBorder="1" applyAlignment="1">
      <alignment horizontal="center" vertical="center" wrapText="1"/>
    </xf>
    <xf numFmtId="0" fontId="4" fillId="0" borderId="7" xfId="49" applyFont="1" applyBorder="1" applyAlignment="1">
      <alignment horizontal="center" vertical="center" wrapText="1"/>
    </xf>
    <xf numFmtId="0" fontId="58" fillId="0" borderId="20" xfId="0" applyFont="1" applyBorder="1" applyAlignment="1">
      <alignment horizontal="center" vertical="center" wrapText="1"/>
    </xf>
    <xf numFmtId="0" fontId="58" fillId="0" borderId="7" xfId="0" applyFont="1" applyBorder="1" applyAlignment="1">
      <alignment horizontal="center" vertical="center" wrapText="1"/>
    </xf>
    <xf numFmtId="0" fontId="4" fillId="0" borderId="0" xfId="49" applyFont="1" applyAlignment="1">
      <alignment horizontal="center" vertical="center" wrapText="1"/>
    </xf>
    <xf numFmtId="0" fontId="4" fillId="0" borderId="0" xfId="49" quotePrefix="1" applyFont="1" applyAlignment="1">
      <alignment horizontal="left" vertical="top" wrapText="1"/>
    </xf>
  </cellXfs>
  <cellStyles count="111">
    <cellStyle name="20% - Colore 1 2" xfId="1" xr:uid="{00000000-0005-0000-0000-000000000000}"/>
    <cellStyle name="20% - Colore 2 2" xfId="2" xr:uid="{00000000-0005-0000-0000-000001000000}"/>
    <cellStyle name="20% - Colore 3 2" xfId="3" xr:uid="{00000000-0005-0000-0000-000002000000}"/>
    <cellStyle name="20% - Colore 4 2" xfId="4" xr:uid="{00000000-0005-0000-0000-000003000000}"/>
    <cellStyle name="20% - Colore 5 2" xfId="5" xr:uid="{00000000-0005-0000-0000-000004000000}"/>
    <cellStyle name="20% - Colore 6 2" xfId="6" xr:uid="{00000000-0005-0000-0000-000005000000}"/>
    <cellStyle name="40% - Colore 1 2" xfId="7" xr:uid="{00000000-0005-0000-0000-000006000000}"/>
    <cellStyle name="40% - Colore 2 2" xfId="8" xr:uid="{00000000-0005-0000-0000-000007000000}"/>
    <cellStyle name="40% - Colore 3 2" xfId="9" xr:uid="{00000000-0005-0000-0000-000008000000}"/>
    <cellStyle name="40% - Colore 4 2" xfId="10" xr:uid="{00000000-0005-0000-0000-000009000000}"/>
    <cellStyle name="40% - Colore 5 2" xfId="11" xr:uid="{00000000-0005-0000-0000-00000A000000}"/>
    <cellStyle name="40% - Colore 6 2" xfId="12" xr:uid="{00000000-0005-0000-0000-00000B000000}"/>
    <cellStyle name="60% - Colore 1 2" xfId="13" xr:uid="{00000000-0005-0000-0000-00000C000000}"/>
    <cellStyle name="60% - Colore 2 2" xfId="14" xr:uid="{00000000-0005-0000-0000-00000D000000}"/>
    <cellStyle name="60% - Colore 3 2" xfId="15" xr:uid="{00000000-0005-0000-0000-00000E000000}"/>
    <cellStyle name="60% - Colore 4 2" xfId="16" xr:uid="{00000000-0005-0000-0000-00000F000000}"/>
    <cellStyle name="60% - Colore 5 2" xfId="17" xr:uid="{00000000-0005-0000-0000-000010000000}"/>
    <cellStyle name="60% - Colore 6 2" xfId="18" xr:uid="{00000000-0005-0000-0000-000011000000}"/>
    <cellStyle name="Calcolo 2" xfId="19" xr:uid="{00000000-0005-0000-0000-000012000000}"/>
    <cellStyle name="Cella collegata 2" xfId="20" xr:uid="{00000000-0005-0000-0000-000013000000}"/>
    <cellStyle name="Cella da controllare 2" xfId="21" xr:uid="{00000000-0005-0000-0000-000014000000}"/>
    <cellStyle name="Collegamento ipertestuale" xfId="107" builtinId="8"/>
    <cellStyle name="Collegamento ipertestuale 2" xfId="22" xr:uid="{00000000-0005-0000-0000-000016000000}"/>
    <cellStyle name="Collegamento ipertestuale visitato 2" xfId="23" xr:uid="{00000000-0005-0000-0000-000017000000}"/>
    <cellStyle name="Colore 1 2" xfId="24" xr:uid="{00000000-0005-0000-0000-000018000000}"/>
    <cellStyle name="Colore 2 2" xfId="25" xr:uid="{00000000-0005-0000-0000-000019000000}"/>
    <cellStyle name="Colore 3 2" xfId="26" xr:uid="{00000000-0005-0000-0000-00001A000000}"/>
    <cellStyle name="Colore 4 2" xfId="27" xr:uid="{00000000-0005-0000-0000-00001B000000}"/>
    <cellStyle name="Colore 5 2" xfId="28" xr:uid="{00000000-0005-0000-0000-00001C000000}"/>
    <cellStyle name="Colore 6 2" xfId="29" xr:uid="{00000000-0005-0000-0000-00001D000000}"/>
    <cellStyle name="Euro" xfId="30" xr:uid="{00000000-0005-0000-0000-00001E000000}"/>
    <cellStyle name="Fiancata" xfId="31" xr:uid="{00000000-0005-0000-0000-00001F000000}"/>
    <cellStyle name="Input 2" xfId="32" xr:uid="{00000000-0005-0000-0000-000020000000}"/>
    <cellStyle name="Intero" xfId="33" xr:uid="{00000000-0005-0000-0000-000021000000}"/>
    <cellStyle name="Migliaia" xfId="110" builtinId="3"/>
    <cellStyle name="Migliaia (0)_020020vINC" xfId="34" xr:uid="{00000000-0005-0000-0000-000023000000}"/>
    <cellStyle name="Migliaia (0)_Tav. 6.34 ASI" xfId="35" xr:uid="{00000000-0005-0000-0000-000024000000}"/>
    <cellStyle name="Migliaia [0] 2" xfId="36" xr:uid="{00000000-0005-0000-0000-000025000000}"/>
    <cellStyle name="Migliaia [0] 2 2" xfId="37" xr:uid="{00000000-0005-0000-0000-000026000000}"/>
    <cellStyle name="Migliaia [0] 2 2 2" xfId="38" xr:uid="{00000000-0005-0000-0000-000027000000}"/>
    <cellStyle name="Migliaia [0] 2 3" xfId="39" xr:uid="{00000000-0005-0000-0000-000028000000}"/>
    <cellStyle name="Migliaia [0] 3" xfId="40" xr:uid="{00000000-0005-0000-0000-000029000000}"/>
    <cellStyle name="Migliaia [0] 4" xfId="41" xr:uid="{00000000-0005-0000-0000-00002A000000}"/>
    <cellStyle name="Migliaia [0] 4 2" xfId="106" xr:uid="{00000000-0005-0000-0000-00002B000000}"/>
    <cellStyle name="Migliaia [0] 4 3" xfId="105" xr:uid="{00000000-0005-0000-0000-00002C000000}"/>
    <cellStyle name="Migliaia [0] 5" xfId="42" xr:uid="{00000000-0005-0000-0000-00002D000000}"/>
    <cellStyle name="Migliaia 2" xfId="43" xr:uid="{00000000-0005-0000-0000-00002E000000}"/>
    <cellStyle name="Migliaia 3" xfId="44" xr:uid="{00000000-0005-0000-0000-00002F000000}"/>
    <cellStyle name="Migliaia 4" xfId="45" xr:uid="{00000000-0005-0000-0000-000030000000}"/>
    <cellStyle name="Neutrale 2" xfId="46" xr:uid="{00000000-0005-0000-0000-000031000000}"/>
    <cellStyle name="Normal_Austria" xfId="47" xr:uid="{00000000-0005-0000-0000-000032000000}"/>
    <cellStyle name="Normale" xfId="0" builtinId="0"/>
    <cellStyle name="Normale 10" xfId="99" xr:uid="{00000000-0005-0000-0000-000034000000}"/>
    <cellStyle name="Normale 11" xfId="102" xr:uid="{00000000-0005-0000-0000-000035000000}"/>
    <cellStyle name="Normale 2" xfId="48" xr:uid="{00000000-0005-0000-0000-000036000000}"/>
    <cellStyle name="Normale 2 2" xfId="49" xr:uid="{00000000-0005-0000-0000-000037000000}"/>
    <cellStyle name="Normale 2 2 2" xfId="50" xr:uid="{00000000-0005-0000-0000-000038000000}"/>
    <cellStyle name="Normale 2 3" xfId="51" xr:uid="{00000000-0005-0000-0000-000039000000}"/>
    <cellStyle name="Normale 3" xfId="52" xr:uid="{00000000-0005-0000-0000-00003A000000}"/>
    <cellStyle name="Normale 3 2" xfId="53" xr:uid="{00000000-0005-0000-0000-00003B000000}"/>
    <cellStyle name="Normale 3 2 2" xfId="54" xr:uid="{00000000-0005-0000-0000-00003C000000}"/>
    <cellStyle name="Normale 3 3" xfId="55" xr:uid="{00000000-0005-0000-0000-00003D000000}"/>
    <cellStyle name="Normale 3 4" xfId="56" xr:uid="{00000000-0005-0000-0000-00003E000000}"/>
    <cellStyle name="Normale 3_ISTAT_daaggiornare" xfId="57" xr:uid="{00000000-0005-0000-0000-00003F000000}"/>
    <cellStyle name="Normale 4" xfId="58" xr:uid="{00000000-0005-0000-0000-000040000000}"/>
    <cellStyle name="Normale 5" xfId="59" xr:uid="{00000000-0005-0000-0000-000041000000}"/>
    <cellStyle name="Normale 5 2" xfId="60" xr:uid="{00000000-0005-0000-0000-000042000000}"/>
    <cellStyle name="Normale 6" xfId="61" xr:uid="{00000000-0005-0000-0000-000043000000}"/>
    <cellStyle name="Normale 6 2" xfId="62" xr:uid="{00000000-0005-0000-0000-000044000000}"/>
    <cellStyle name="Normale 6 3" xfId="103" xr:uid="{00000000-0005-0000-0000-000045000000}"/>
    <cellStyle name="Normale 7" xfId="63" xr:uid="{00000000-0005-0000-0000-000046000000}"/>
    <cellStyle name="Normale 7 2" xfId="64" xr:uid="{00000000-0005-0000-0000-000047000000}"/>
    <cellStyle name="Normale 7 3" xfId="65" xr:uid="{00000000-0005-0000-0000-000048000000}"/>
    <cellStyle name="Normale 7 3 2" xfId="66" xr:uid="{00000000-0005-0000-0000-000049000000}"/>
    <cellStyle name="Normale 8" xfId="67" xr:uid="{00000000-0005-0000-0000-00004A000000}"/>
    <cellStyle name="Normale 9" xfId="68" xr:uid="{00000000-0005-0000-0000-00004B000000}"/>
    <cellStyle name="Normale 9 2" xfId="101" xr:uid="{00000000-0005-0000-0000-00004C000000}"/>
    <cellStyle name="Normale_1.5" xfId="69" xr:uid="{00000000-0005-0000-0000-00004D000000}"/>
    <cellStyle name="Normale_1.5 2" xfId="70" xr:uid="{00000000-0005-0000-0000-00004E000000}"/>
    <cellStyle name="Normale_3.1" xfId="104" xr:uid="{00000000-0005-0000-0000-00004F000000}"/>
    <cellStyle name="Normale_PER6-18" xfId="71" xr:uid="{00000000-0005-0000-0000-000050000000}"/>
    <cellStyle name="Normale_Tav. 6.38 ASI" xfId="72" xr:uid="{00000000-0005-0000-0000-000051000000}"/>
    <cellStyle name="Normale_Tav. 6.39 ASI" xfId="73" xr:uid="{00000000-0005-0000-0000-000052000000}"/>
    <cellStyle name="Normale_Tav. 6.39 ASI 2" xfId="74" xr:uid="{00000000-0005-0000-0000-000053000000}"/>
    <cellStyle name="Normale_Tav. 6.41 ASI 2" xfId="75" xr:uid="{00000000-0005-0000-0000-000054000000}"/>
    <cellStyle name="Normale_Tavole 2007-2009" xfId="108" xr:uid="{00000000-0005-0000-0000-000055000000}"/>
    <cellStyle name="Nota 2" xfId="76" xr:uid="{00000000-0005-0000-0000-000056000000}"/>
    <cellStyle name="Nuovo" xfId="77" xr:uid="{00000000-0005-0000-0000-000057000000}"/>
    <cellStyle name="Output 2" xfId="78" xr:uid="{00000000-0005-0000-0000-000058000000}"/>
    <cellStyle name="Percentuale" xfId="109" builtinId="5"/>
    <cellStyle name="Percentuale 2" xfId="79" xr:uid="{00000000-0005-0000-0000-00005A000000}"/>
    <cellStyle name="Percentuale 2 2" xfId="80" xr:uid="{00000000-0005-0000-0000-00005B000000}"/>
    <cellStyle name="Standard" xfId="81" xr:uid="{00000000-0005-0000-0000-00005C000000}"/>
    <cellStyle name="T_decimale(1)" xfId="100" xr:uid="{00000000-0005-0000-0000-00005D000000}"/>
    <cellStyle name="T_fiancata" xfId="82" xr:uid="{00000000-0005-0000-0000-00005E000000}"/>
    <cellStyle name="T_fiancata_pop_2012" xfId="83" xr:uid="{00000000-0005-0000-0000-00005F000000}"/>
    <cellStyle name="T_fiancata_S01I03T12p0_2013" xfId="84" xr:uid="{00000000-0005-0000-0000-000060000000}"/>
    <cellStyle name="T_intero" xfId="85" xr:uid="{00000000-0005-0000-0000-000061000000}"/>
    <cellStyle name="T_intestazione bassa" xfId="86" xr:uid="{00000000-0005-0000-0000-000062000000}"/>
    <cellStyle name="T_intestazione bassa_S01I03T12p0_2013" xfId="87" xr:uid="{00000000-0005-0000-0000-000063000000}"/>
    <cellStyle name="Testata" xfId="88" xr:uid="{00000000-0005-0000-0000-000064000000}"/>
    <cellStyle name="Testo avviso 2" xfId="89" xr:uid="{00000000-0005-0000-0000-000065000000}"/>
    <cellStyle name="Testo descrittivo 2" xfId="90" xr:uid="{00000000-0005-0000-0000-000066000000}"/>
    <cellStyle name="Titolo 1 2" xfId="91" xr:uid="{00000000-0005-0000-0000-000067000000}"/>
    <cellStyle name="Titolo 2 2" xfId="92" xr:uid="{00000000-0005-0000-0000-000068000000}"/>
    <cellStyle name="Titolo 3 2" xfId="93" xr:uid="{00000000-0005-0000-0000-000069000000}"/>
    <cellStyle name="Titolo 4 2" xfId="94" xr:uid="{00000000-0005-0000-0000-00006A000000}"/>
    <cellStyle name="Totale 2" xfId="95" xr:uid="{00000000-0005-0000-0000-00006B000000}"/>
    <cellStyle name="Valore non valido 2" xfId="96" xr:uid="{00000000-0005-0000-0000-00006C000000}"/>
    <cellStyle name="Valore valido 2" xfId="97" xr:uid="{00000000-0005-0000-0000-00006D000000}"/>
    <cellStyle name="Valuta (0)_020020vINC" xfId="98" xr:uid="{00000000-0005-0000-0000-00006E000000}"/>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666750</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6</xdr:col>
      <xdr:colOff>462915</xdr:colOff>
      <xdr:row>3</xdr:row>
      <xdr:rowOff>14243</xdr:rowOff>
    </xdr:to>
    <xdr:pic>
      <xdr:nvPicPr>
        <xdr:cNvPr id="3" name="Immagine 2">
          <a:extLst>
            <a:ext uri="{FF2B5EF4-FFF2-40B4-BE49-F238E27FC236}">
              <a16:creationId xmlns:a16="http://schemas.microsoft.com/office/drawing/2014/main" id="{EA70917D-2474-42B8-AC73-66BB5A8EC9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
          <a:ext cx="6019165"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8</xdr:col>
      <xdr:colOff>177165</xdr:colOff>
      <xdr:row>2</xdr:row>
      <xdr:rowOff>169818</xdr:rowOff>
    </xdr:to>
    <xdr:pic>
      <xdr:nvPicPr>
        <xdr:cNvPr id="3" name="Immagine 2">
          <a:extLst>
            <a:ext uri="{FF2B5EF4-FFF2-40B4-BE49-F238E27FC236}">
              <a16:creationId xmlns:a16="http://schemas.microsoft.com/office/drawing/2014/main" id="{15F73087-B08D-482F-AD2B-3E28E19D81E7}"/>
            </a:ext>
            <a:ext uri="{147F2762-F138-4A5C-976F-8EAC2B608ADB}">
              <a16:predDERef xmlns:a16="http://schemas.microsoft.com/office/drawing/2014/main" pred="{1E780235-DA38-46FB-A77A-F00AA17BDE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0"/>
          <a:ext cx="5768340"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oneCellAnchor>
    <xdr:from>
      <xdr:col>0</xdr:col>
      <xdr:colOff>0</xdr:colOff>
      <xdr:row>0</xdr:row>
      <xdr:rowOff>0</xdr:rowOff>
    </xdr:from>
    <xdr:ext cx="5768340" cy="474618"/>
    <xdr:pic>
      <xdr:nvPicPr>
        <xdr:cNvPr id="2" name="Banner">
          <a:extLst>
            <a:ext uri="{FF2B5EF4-FFF2-40B4-BE49-F238E27FC236}">
              <a16:creationId xmlns:a16="http://schemas.microsoft.com/office/drawing/2014/main" id="{31F1102C-D776-49A8-BCAA-4EE9C6DDB5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0</xdr:row>
      <xdr:rowOff>0</xdr:rowOff>
    </xdr:from>
    <xdr:ext cx="5928582" cy="485775"/>
    <xdr:pic>
      <xdr:nvPicPr>
        <xdr:cNvPr id="2" name="Banner">
          <a:extLst>
            <a:ext uri="{FF2B5EF4-FFF2-40B4-BE49-F238E27FC236}">
              <a16:creationId xmlns:a16="http://schemas.microsoft.com/office/drawing/2014/main" id="{91CA9DE3-54D5-4A7E-A279-6802BAB19C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5928582" cy="485775"/>
    <xdr:pic>
      <xdr:nvPicPr>
        <xdr:cNvPr id="2" name="Banner">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228600</xdr:colOff>
      <xdr:row>3</xdr:row>
      <xdr:rowOff>0</xdr:rowOff>
    </xdr:to>
    <xdr:pic>
      <xdr:nvPicPr>
        <xdr:cNvPr id="2" name="Banner">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356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2" name="Banner">
          <a:extLst>
            <a:ext uri="{FF2B5EF4-FFF2-40B4-BE49-F238E27FC236}">
              <a16:creationId xmlns:a16="http://schemas.microsoft.com/office/drawing/2014/main" id="{7DEC24DE-4FF8-44AE-A4AF-2835E4EA6E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16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a:extLst>
            <a:ext uri="{FF2B5EF4-FFF2-40B4-BE49-F238E27FC236}">
              <a16:creationId xmlns:a16="http://schemas.microsoft.com/office/drawing/2014/main" id="{5DEE3296-BC83-4A10-B871-858501CC09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75598</xdr:colOff>
      <xdr:row>3</xdr:row>
      <xdr:rowOff>0</xdr:rowOff>
    </xdr:to>
    <xdr:pic>
      <xdr:nvPicPr>
        <xdr:cNvPr id="2" name="Banner">
          <a:extLst>
            <a:ext uri="{FF2B5EF4-FFF2-40B4-BE49-F238E27FC236}">
              <a16:creationId xmlns:a16="http://schemas.microsoft.com/office/drawing/2014/main" id="{70D3D28F-3232-49F6-9A16-495E622669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1523"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306705</xdr:colOff>
      <xdr:row>3</xdr:row>
      <xdr:rowOff>3175</xdr:rowOff>
    </xdr:to>
    <xdr:pic>
      <xdr:nvPicPr>
        <xdr:cNvPr id="2" name="Banner">
          <a:extLst>
            <a:ext uri="{FF2B5EF4-FFF2-40B4-BE49-F238E27FC236}">
              <a16:creationId xmlns:a16="http://schemas.microsoft.com/office/drawing/2014/main" id="{F7BF25D1-F751-40C2-BEFA-BF796CDE29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45455"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787425" cy="486853"/>
    <xdr:pic>
      <xdr:nvPicPr>
        <xdr:cNvPr id="2" name="Banner">
          <a:extLst>
            <a:ext uri="{FF2B5EF4-FFF2-40B4-BE49-F238E27FC236}">
              <a16:creationId xmlns:a16="http://schemas.microsoft.com/office/drawing/2014/main" id="{47722CC1-DF96-46C4-B50F-034F998EB0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87425" cy="486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 name="Banner">
          <a:extLst>
            <a:ext uri="{FF2B5EF4-FFF2-40B4-BE49-F238E27FC236}">
              <a16:creationId xmlns:a16="http://schemas.microsoft.com/office/drawing/2014/main" id="{72D34510-9157-4190-B2B6-8E5A88C8F0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7022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82692</xdr:colOff>
      <xdr:row>3</xdr:row>
      <xdr:rowOff>36635</xdr:rowOff>
    </xdr:to>
    <xdr:pic>
      <xdr:nvPicPr>
        <xdr:cNvPr id="2" name="Banner">
          <a:extLst>
            <a:ext uri="{FF2B5EF4-FFF2-40B4-BE49-F238E27FC236}">
              <a16:creationId xmlns:a16="http://schemas.microsoft.com/office/drawing/2014/main" id="{F638B4F9-626A-4AB4-A86A-4763A4EA99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50042" cy="484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6350</xdr:rowOff>
    </xdr:from>
    <xdr:to>
      <xdr:col>17</xdr:col>
      <xdr:colOff>20955</xdr:colOff>
      <xdr:row>3</xdr:row>
      <xdr:rowOff>6350</xdr:rowOff>
    </xdr:to>
    <xdr:pic>
      <xdr:nvPicPr>
        <xdr:cNvPr id="2" name="Banner">
          <a:extLst>
            <a:ext uri="{FF2B5EF4-FFF2-40B4-BE49-F238E27FC236}">
              <a16:creationId xmlns:a16="http://schemas.microsoft.com/office/drawing/2014/main" id="{2543E265-4154-4D59-A4BA-CB98871453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350"/>
          <a:ext cx="577405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oneCellAnchor>
    <xdr:from>
      <xdr:col>0</xdr:col>
      <xdr:colOff>1</xdr:colOff>
      <xdr:row>0</xdr:row>
      <xdr:rowOff>2</xdr:rowOff>
    </xdr:from>
    <xdr:ext cx="6102478" cy="528664"/>
    <xdr:pic>
      <xdr:nvPicPr>
        <xdr:cNvPr id="2" name="Immagin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1" y="2"/>
          <a:ext cx="6102478" cy="528664"/>
        </a:xfrm>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11</xdr:col>
      <xdr:colOff>2824</xdr:colOff>
      <xdr:row>2</xdr:row>
      <xdr:rowOff>146588</xdr:rowOff>
    </xdr:to>
    <xdr:pic>
      <xdr:nvPicPr>
        <xdr:cNvPr id="2" name="Immagin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1" y="2"/>
          <a:ext cx="5908323" cy="4513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526657" cy="486494"/>
    <xdr:pic>
      <xdr:nvPicPr>
        <xdr:cNvPr id="2" name="Banner">
          <a:extLst>
            <a:ext uri="{FF2B5EF4-FFF2-40B4-BE49-F238E27FC236}">
              <a16:creationId xmlns:a16="http://schemas.microsoft.com/office/drawing/2014/main" id="{086DF130-A002-4993-8BAC-643DEB8AD7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26657" cy="486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12700</xdr:colOff>
      <xdr:row>0</xdr:row>
      <xdr:rowOff>12700</xdr:rowOff>
    </xdr:from>
    <xdr:ext cx="5526657" cy="486494"/>
    <xdr:pic>
      <xdr:nvPicPr>
        <xdr:cNvPr id="3" name="Banner">
          <a:extLst>
            <a:ext uri="{FF2B5EF4-FFF2-40B4-BE49-F238E27FC236}">
              <a16:creationId xmlns:a16="http://schemas.microsoft.com/office/drawing/2014/main" id="{BE4DB720-0B25-4270-8F62-6E20BE89CAF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00" y="12700"/>
          <a:ext cx="5526657" cy="486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864707" cy="481379"/>
    <xdr:pic>
      <xdr:nvPicPr>
        <xdr:cNvPr id="2" name="Banner">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64707" cy="481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5928582" cy="485775"/>
    <xdr:pic>
      <xdr:nvPicPr>
        <xdr:cNvPr id="2" name="Banner">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9285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586740</xdr:colOff>
      <xdr:row>2</xdr:row>
      <xdr:rowOff>150768</xdr:rowOff>
    </xdr:to>
    <xdr:pic>
      <xdr:nvPicPr>
        <xdr:cNvPr id="3" name="Immagine 2">
          <a:extLst>
            <a:ext uri="{FF2B5EF4-FFF2-40B4-BE49-F238E27FC236}">
              <a16:creationId xmlns:a16="http://schemas.microsoft.com/office/drawing/2014/main" id="{2354C320-22E3-463E-B0BC-70F6F69653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19050</xdr:colOff>
      <xdr:row>0</xdr:row>
      <xdr:rowOff>25400</xdr:rowOff>
    </xdr:from>
    <xdr:to>
      <xdr:col>14</xdr:col>
      <xdr:colOff>520065</xdr:colOff>
      <xdr:row>3</xdr:row>
      <xdr:rowOff>42818</xdr:rowOff>
    </xdr:to>
    <xdr:pic>
      <xdr:nvPicPr>
        <xdr:cNvPr id="3" name="Immagine 2">
          <a:extLst>
            <a:ext uri="{FF2B5EF4-FFF2-40B4-BE49-F238E27FC236}">
              <a16:creationId xmlns:a16="http://schemas.microsoft.com/office/drawing/2014/main" id="{2E541659-33DB-49C0-9ED1-6396F51BAB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25400"/>
          <a:ext cx="6019165"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8</xdr:col>
      <xdr:colOff>586740</xdr:colOff>
      <xdr:row>3</xdr:row>
      <xdr:rowOff>17418</xdr:rowOff>
    </xdr:to>
    <xdr:pic>
      <xdr:nvPicPr>
        <xdr:cNvPr id="3" name="Immagine 2">
          <a:extLst>
            <a:ext uri="{FF2B5EF4-FFF2-40B4-BE49-F238E27FC236}">
              <a16:creationId xmlns:a16="http://schemas.microsoft.com/office/drawing/2014/main" id="{0A794676-66BE-4691-9809-39E22152E2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5768340" cy="4746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ormstat\Statistica\TEMP\Seri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Formstat\Statistica\TEMP\Seri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Users\pamelapintus\Desktop\C:\Users\pamelapintus\Desktop\Formstat\Statistica\TEMP\Serie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pedrotti\condivisa\documenti\PRESENZE\PRES_2003\Luglio_2001\FINALE_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istat.it\xendesktop\Users\pamelapintus\Desktop\C:\Users\pamelapintus\Desktop\M.pedrotti\condivisa\documenti\PRESENZE\PRES_2003\Luglio_2001\FINALE_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c.istat.it\xendesktop\Users\pamelapintus\Desktop\M.pedrotti\condivisa\documenti\PRESENZE\PRES_2003\Luglio_2001\FINALE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Users\pamelapintus\Desktop\C:\Users\pamelapintus\Desktop\M.pedrotti\condivisa\documenti\PRESENZE\PRES_2003\Luglio_2001\FINALE_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opertine"/>
      <sheetName val="Tabella 1"/>
      <sheetName val="Tabella 2"/>
      <sheetName val="Tabella 3"/>
      <sheetName val="Tabella 4"/>
      <sheetName val="Tabella 5"/>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
      <sheetName val="posizioni giuridiche host"/>
      <sheetName val="grafico"/>
      <sheetName val="STOR_PG"/>
    </sheetNames>
    <sheetDataSet>
      <sheetData sheetId="0" refreshError="1"/>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zoomScaleNormal="100" workbookViewId="0">
      <selection activeCell="A4" sqref="A4"/>
    </sheetView>
  </sheetViews>
  <sheetFormatPr defaultColWidth="8.7265625" defaultRowHeight="12.5"/>
  <cols>
    <col min="1" max="1" width="19.26953125" style="127" customWidth="1"/>
    <col min="2" max="2" width="57.7265625" style="128" customWidth="1"/>
    <col min="3" max="3" width="16.26953125" style="127" customWidth="1"/>
    <col min="4" max="10" width="8.7265625" style="127"/>
    <col min="11" max="256" width="8.7265625" style="129"/>
    <col min="257" max="257" width="15.7265625" style="129" customWidth="1"/>
    <col min="258" max="258" width="57.7265625" style="129" customWidth="1"/>
    <col min="259" max="259" width="16.26953125" style="129" customWidth="1"/>
    <col min="260" max="512" width="8.7265625" style="129"/>
    <col min="513" max="513" width="15.7265625" style="129" customWidth="1"/>
    <col min="514" max="514" width="57.7265625" style="129" customWidth="1"/>
    <col min="515" max="515" width="16.26953125" style="129" customWidth="1"/>
    <col min="516" max="768" width="8.7265625" style="129"/>
    <col min="769" max="769" width="15.7265625" style="129" customWidth="1"/>
    <col min="770" max="770" width="57.7265625" style="129" customWidth="1"/>
    <col min="771" max="771" width="16.26953125" style="129" customWidth="1"/>
    <col min="772" max="1024" width="8.7265625" style="129"/>
    <col min="1025" max="1025" width="15.7265625" style="129" customWidth="1"/>
    <col min="1026" max="1026" width="57.7265625" style="129" customWidth="1"/>
    <col min="1027" max="1027" width="16.26953125" style="129" customWidth="1"/>
    <col min="1028" max="1280" width="8.7265625" style="129"/>
    <col min="1281" max="1281" width="15.7265625" style="129" customWidth="1"/>
    <col min="1282" max="1282" width="57.7265625" style="129" customWidth="1"/>
    <col min="1283" max="1283" width="16.26953125" style="129" customWidth="1"/>
    <col min="1284" max="1536" width="8.7265625" style="129"/>
    <col min="1537" max="1537" width="15.7265625" style="129" customWidth="1"/>
    <col min="1538" max="1538" width="57.7265625" style="129" customWidth="1"/>
    <col min="1539" max="1539" width="16.26953125" style="129" customWidth="1"/>
    <col min="1540" max="1792" width="8.7265625" style="129"/>
    <col min="1793" max="1793" width="15.7265625" style="129" customWidth="1"/>
    <col min="1794" max="1794" width="57.7265625" style="129" customWidth="1"/>
    <col min="1795" max="1795" width="16.26953125" style="129" customWidth="1"/>
    <col min="1796" max="2048" width="8.7265625" style="129"/>
    <col min="2049" max="2049" width="15.7265625" style="129" customWidth="1"/>
    <col min="2050" max="2050" width="57.7265625" style="129" customWidth="1"/>
    <col min="2051" max="2051" width="16.26953125" style="129" customWidth="1"/>
    <col min="2052" max="2304" width="8.7265625" style="129"/>
    <col min="2305" max="2305" width="15.7265625" style="129" customWidth="1"/>
    <col min="2306" max="2306" width="57.7265625" style="129" customWidth="1"/>
    <col min="2307" max="2307" width="16.26953125" style="129" customWidth="1"/>
    <col min="2308" max="2560" width="8.7265625" style="129"/>
    <col min="2561" max="2561" width="15.7265625" style="129" customWidth="1"/>
    <col min="2562" max="2562" width="57.7265625" style="129" customWidth="1"/>
    <col min="2563" max="2563" width="16.26953125" style="129" customWidth="1"/>
    <col min="2564" max="2816" width="8.7265625" style="129"/>
    <col min="2817" max="2817" width="15.7265625" style="129" customWidth="1"/>
    <col min="2818" max="2818" width="57.7265625" style="129" customWidth="1"/>
    <col min="2819" max="2819" width="16.26953125" style="129" customWidth="1"/>
    <col min="2820" max="3072" width="8.7265625" style="129"/>
    <col min="3073" max="3073" width="15.7265625" style="129" customWidth="1"/>
    <col min="3074" max="3074" width="57.7265625" style="129" customWidth="1"/>
    <col min="3075" max="3075" width="16.26953125" style="129" customWidth="1"/>
    <col min="3076" max="3328" width="8.7265625" style="129"/>
    <col min="3329" max="3329" width="15.7265625" style="129" customWidth="1"/>
    <col min="3330" max="3330" width="57.7265625" style="129" customWidth="1"/>
    <col min="3331" max="3331" width="16.26953125" style="129" customWidth="1"/>
    <col min="3332" max="3584" width="8.7265625" style="129"/>
    <col min="3585" max="3585" width="15.7265625" style="129" customWidth="1"/>
    <col min="3586" max="3586" width="57.7265625" style="129" customWidth="1"/>
    <col min="3587" max="3587" width="16.26953125" style="129" customWidth="1"/>
    <col min="3588" max="3840" width="8.7265625" style="129"/>
    <col min="3841" max="3841" width="15.7265625" style="129" customWidth="1"/>
    <col min="3842" max="3842" width="57.7265625" style="129" customWidth="1"/>
    <col min="3843" max="3843" width="16.26953125" style="129" customWidth="1"/>
    <col min="3844" max="4096" width="8.7265625" style="129"/>
    <col min="4097" max="4097" width="15.7265625" style="129" customWidth="1"/>
    <col min="4098" max="4098" width="57.7265625" style="129" customWidth="1"/>
    <col min="4099" max="4099" width="16.26953125" style="129" customWidth="1"/>
    <col min="4100" max="4352" width="8.7265625" style="129"/>
    <col min="4353" max="4353" width="15.7265625" style="129" customWidth="1"/>
    <col min="4354" max="4354" width="57.7265625" style="129" customWidth="1"/>
    <col min="4355" max="4355" width="16.26953125" style="129" customWidth="1"/>
    <col min="4356" max="4608" width="8.7265625" style="129"/>
    <col min="4609" max="4609" width="15.7265625" style="129" customWidth="1"/>
    <col min="4610" max="4610" width="57.7265625" style="129" customWidth="1"/>
    <col min="4611" max="4611" width="16.26953125" style="129" customWidth="1"/>
    <col min="4612" max="4864" width="8.7265625" style="129"/>
    <col min="4865" max="4865" width="15.7265625" style="129" customWidth="1"/>
    <col min="4866" max="4866" width="57.7265625" style="129" customWidth="1"/>
    <col min="4867" max="4867" width="16.26953125" style="129" customWidth="1"/>
    <col min="4868" max="5120" width="8.7265625" style="129"/>
    <col min="5121" max="5121" width="15.7265625" style="129" customWidth="1"/>
    <col min="5122" max="5122" width="57.7265625" style="129" customWidth="1"/>
    <col min="5123" max="5123" width="16.26953125" style="129" customWidth="1"/>
    <col min="5124" max="5376" width="8.7265625" style="129"/>
    <col min="5377" max="5377" width="15.7265625" style="129" customWidth="1"/>
    <col min="5378" max="5378" width="57.7265625" style="129" customWidth="1"/>
    <col min="5379" max="5379" width="16.26953125" style="129" customWidth="1"/>
    <col min="5380" max="5632" width="8.7265625" style="129"/>
    <col min="5633" max="5633" width="15.7265625" style="129" customWidth="1"/>
    <col min="5634" max="5634" width="57.7265625" style="129" customWidth="1"/>
    <col min="5635" max="5635" width="16.26953125" style="129" customWidth="1"/>
    <col min="5636" max="5888" width="8.7265625" style="129"/>
    <col min="5889" max="5889" width="15.7265625" style="129" customWidth="1"/>
    <col min="5890" max="5890" width="57.7265625" style="129" customWidth="1"/>
    <col min="5891" max="5891" width="16.26953125" style="129" customWidth="1"/>
    <col min="5892" max="6144" width="8.7265625" style="129"/>
    <col min="6145" max="6145" width="15.7265625" style="129" customWidth="1"/>
    <col min="6146" max="6146" width="57.7265625" style="129" customWidth="1"/>
    <col min="6147" max="6147" width="16.26953125" style="129" customWidth="1"/>
    <col min="6148" max="6400" width="8.7265625" style="129"/>
    <col min="6401" max="6401" width="15.7265625" style="129" customWidth="1"/>
    <col min="6402" max="6402" width="57.7265625" style="129" customWidth="1"/>
    <col min="6403" max="6403" width="16.26953125" style="129" customWidth="1"/>
    <col min="6404" max="6656" width="8.7265625" style="129"/>
    <col min="6657" max="6657" width="15.7265625" style="129" customWidth="1"/>
    <col min="6658" max="6658" width="57.7265625" style="129" customWidth="1"/>
    <col min="6659" max="6659" width="16.26953125" style="129" customWidth="1"/>
    <col min="6660" max="6912" width="8.7265625" style="129"/>
    <col min="6913" max="6913" width="15.7265625" style="129" customWidth="1"/>
    <col min="6914" max="6914" width="57.7265625" style="129" customWidth="1"/>
    <col min="6915" max="6915" width="16.26953125" style="129" customWidth="1"/>
    <col min="6916" max="7168" width="8.7265625" style="129"/>
    <col min="7169" max="7169" width="15.7265625" style="129" customWidth="1"/>
    <col min="7170" max="7170" width="57.7265625" style="129" customWidth="1"/>
    <col min="7171" max="7171" width="16.26953125" style="129" customWidth="1"/>
    <col min="7172" max="7424" width="8.7265625" style="129"/>
    <col min="7425" max="7425" width="15.7265625" style="129" customWidth="1"/>
    <col min="7426" max="7426" width="57.7265625" style="129" customWidth="1"/>
    <col min="7427" max="7427" width="16.26953125" style="129" customWidth="1"/>
    <col min="7428" max="7680" width="8.7265625" style="129"/>
    <col min="7681" max="7681" width="15.7265625" style="129" customWidth="1"/>
    <col min="7682" max="7682" width="57.7265625" style="129" customWidth="1"/>
    <col min="7683" max="7683" width="16.26953125" style="129" customWidth="1"/>
    <col min="7684" max="7936" width="8.7265625" style="129"/>
    <col min="7937" max="7937" width="15.7265625" style="129" customWidth="1"/>
    <col min="7938" max="7938" width="57.7265625" style="129" customWidth="1"/>
    <col min="7939" max="7939" width="16.26953125" style="129" customWidth="1"/>
    <col min="7940" max="8192" width="8.7265625" style="129"/>
    <col min="8193" max="8193" width="15.7265625" style="129" customWidth="1"/>
    <col min="8194" max="8194" width="57.7265625" style="129" customWidth="1"/>
    <col min="8195" max="8195" width="16.26953125" style="129" customWidth="1"/>
    <col min="8196" max="8448" width="8.7265625" style="129"/>
    <col min="8449" max="8449" width="15.7265625" style="129" customWidth="1"/>
    <col min="8450" max="8450" width="57.7265625" style="129" customWidth="1"/>
    <col min="8451" max="8451" width="16.26953125" style="129" customWidth="1"/>
    <col min="8452" max="8704" width="8.7265625" style="129"/>
    <col min="8705" max="8705" width="15.7265625" style="129" customWidth="1"/>
    <col min="8706" max="8706" width="57.7265625" style="129" customWidth="1"/>
    <col min="8707" max="8707" width="16.26953125" style="129" customWidth="1"/>
    <col min="8708" max="8960" width="8.7265625" style="129"/>
    <col min="8961" max="8961" width="15.7265625" style="129" customWidth="1"/>
    <col min="8962" max="8962" width="57.7265625" style="129" customWidth="1"/>
    <col min="8963" max="8963" width="16.26953125" style="129" customWidth="1"/>
    <col min="8964" max="9216" width="8.7265625" style="129"/>
    <col min="9217" max="9217" width="15.7265625" style="129" customWidth="1"/>
    <col min="9218" max="9218" width="57.7265625" style="129" customWidth="1"/>
    <col min="9219" max="9219" width="16.26953125" style="129" customWidth="1"/>
    <col min="9220" max="9472" width="8.7265625" style="129"/>
    <col min="9473" max="9473" width="15.7265625" style="129" customWidth="1"/>
    <col min="9474" max="9474" width="57.7265625" style="129" customWidth="1"/>
    <col min="9475" max="9475" width="16.26953125" style="129" customWidth="1"/>
    <col min="9476" max="9728" width="8.7265625" style="129"/>
    <col min="9729" max="9729" width="15.7265625" style="129" customWidth="1"/>
    <col min="9730" max="9730" width="57.7265625" style="129" customWidth="1"/>
    <col min="9731" max="9731" width="16.26953125" style="129" customWidth="1"/>
    <col min="9732" max="9984" width="8.7265625" style="129"/>
    <col min="9985" max="9985" width="15.7265625" style="129" customWidth="1"/>
    <col min="9986" max="9986" width="57.7265625" style="129" customWidth="1"/>
    <col min="9987" max="9987" width="16.26953125" style="129" customWidth="1"/>
    <col min="9988" max="10240" width="8.7265625" style="129"/>
    <col min="10241" max="10241" width="15.7265625" style="129" customWidth="1"/>
    <col min="10242" max="10242" width="57.7265625" style="129" customWidth="1"/>
    <col min="10243" max="10243" width="16.26953125" style="129" customWidth="1"/>
    <col min="10244" max="10496" width="8.7265625" style="129"/>
    <col min="10497" max="10497" width="15.7265625" style="129" customWidth="1"/>
    <col min="10498" max="10498" width="57.7265625" style="129" customWidth="1"/>
    <col min="10499" max="10499" width="16.26953125" style="129" customWidth="1"/>
    <col min="10500" max="10752" width="8.7265625" style="129"/>
    <col min="10753" max="10753" width="15.7265625" style="129" customWidth="1"/>
    <col min="10754" max="10754" width="57.7265625" style="129" customWidth="1"/>
    <col min="10755" max="10755" width="16.26953125" style="129" customWidth="1"/>
    <col min="10756" max="11008" width="8.7265625" style="129"/>
    <col min="11009" max="11009" width="15.7265625" style="129" customWidth="1"/>
    <col min="11010" max="11010" width="57.7265625" style="129" customWidth="1"/>
    <col min="11011" max="11011" width="16.26953125" style="129" customWidth="1"/>
    <col min="11012" max="11264" width="8.7265625" style="129"/>
    <col min="11265" max="11265" width="15.7265625" style="129" customWidth="1"/>
    <col min="11266" max="11266" width="57.7265625" style="129" customWidth="1"/>
    <col min="11267" max="11267" width="16.26953125" style="129" customWidth="1"/>
    <col min="11268" max="11520" width="8.7265625" style="129"/>
    <col min="11521" max="11521" width="15.7265625" style="129" customWidth="1"/>
    <col min="11522" max="11522" width="57.7265625" style="129" customWidth="1"/>
    <col min="11523" max="11523" width="16.26953125" style="129" customWidth="1"/>
    <col min="11524" max="11776" width="8.7265625" style="129"/>
    <col min="11777" max="11777" width="15.7265625" style="129" customWidth="1"/>
    <col min="11778" max="11778" width="57.7265625" style="129" customWidth="1"/>
    <col min="11779" max="11779" width="16.26953125" style="129" customWidth="1"/>
    <col min="11780" max="12032" width="8.7265625" style="129"/>
    <col min="12033" max="12033" width="15.7265625" style="129" customWidth="1"/>
    <col min="12034" max="12034" width="57.7265625" style="129" customWidth="1"/>
    <col min="12035" max="12035" width="16.26953125" style="129" customWidth="1"/>
    <col min="12036" max="12288" width="8.7265625" style="129"/>
    <col min="12289" max="12289" width="15.7265625" style="129" customWidth="1"/>
    <col min="12290" max="12290" width="57.7265625" style="129" customWidth="1"/>
    <col min="12291" max="12291" width="16.26953125" style="129" customWidth="1"/>
    <col min="12292" max="12544" width="8.7265625" style="129"/>
    <col min="12545" max="12545" width="15.7265625" style="129" customWidth="1"/>
    <col min="12546" max="12546" width="57.7265625" style="129" customWidth="1"/>
    <col min="12547" max="12547" width="16.26953125" style="129" customWidth="1"/>
    <col min="12548" max="12800" width="8.7265625" style="129"/>
    <col min="12801" max="12801" width="15.7265625" style="129" customWidth="1"/>
    <col min="12802" max="12802" width="57.7265625" style="129" customWidth="1"/>
    <col min="12803" max="12803" width="16.26953125" style="129" customWidth="1"/>
    <col min="12804" max="13056" width="8.7265625" style="129"/>
    <col min="13057" max="13057" width="15.7265625" style="129" customWidth="1"/>
    <col min="13058" max="13058" width="57.7265625" style="129" customWidth="1"/>
    <col min="13059" max="13059" width="16.26953125" style="129" customWidth="1"/>
    <col min="13060" max="13312" width="8.7265625" style="129"/>
    <col min="13313" max="13313" width="15.7265625" style="129" customWidth="1"/>
    <col min="13314" max="13314" width="57.7265625" style="129" customWidth="1"/>
    <col min="13315" max="13315" width="16.26953125" style="129" customWidth="1"/>
    <col min="13316" max="13568" width="8.7265625" style="129"/>
    <col min="13569" max="13569" width="15.7265625" style="129" customWidth="1"/>
    <col min="13570" max="13570" width="57.7265625" style="129" customWidth="1"/>
    <col min="13571" max="13571" width="16.26953125" style="129" customWidth="1"/>
    <col min="13572" max="13824" width="8.7265625" style="129"/>
    <col min="13825" max="13825" width="15.7265625" style="129" customWidth="1"/>
    <col min="13826" max="13826" width="57.7265625" style="129" customWidth="1"/>
    <col min="13827" max="13827" width="16.26953125" style="129" customWidth="1"/>
    <col min="13828" max="14080" width="8.7265625" style="129"/>
    <col min="14081" max="14081" width="15.7265625" style="129" customWidth="1"/>
    <col min="14082" max="14082" width="57.7265625" style="129" customWidth="1"/>
    <col min="14083" max="14083" width="16.26953125" style="129" customWidth="1"/>
    <col min="14084" max="14336" width="8.7265625" style="129"/>
    <col min="14337" max="14337" width="15.7265625" style="129" customWidth="1"/>
    <col min="14338" max="14338" width="57.7265625" style="129" customWidth="1"/>
    <col min="14339" max="14339" width="16.26953125" style="129" customWidth="1"/>
    <col min="14340" max="14592" width="8.7265625" style="129"/>
    <col min="14593" max="14593" width="15.7265625" style="129" customWidth="1"/>
    <col min="14594" max="14594" width="57.7265625" style="129" customWidth="1"/>
    <col min="14595" max="14595" width="16.26953125" style="129" customWidth="1"/>
    <col min="14596" max="14848" width="8.7265625" style="129"/>
    <col min="14849" max="14849" width="15.7265625" style="129" customWidth="1"/>
    <col min="14850" max="14850" width="57.7265625" style="129" customWidth="1"/>
    <col min="14851" max="14851" width="16.26953125" style="129" customWidth="1"/>
    <col min="14852" max="15104" width="8.7265625" style="129"/>
    <col min="15105" max="15105" width="15.7265625" style="129" customWidth="1"/>
    <col min="15106" max="15106" width="57.7265625" style="129" customWidth="1"/>
    <col min="15107" max="15107" width="16.26953125" style="129" customWidth="1"/>
    <col min="15108" max="15360" width="8.7265625" style="129"/>
    <col min="15361" max="15361" width="15.7265625" style="129" customWidth="1"/>
    <col min="15362" max="15362" width="57.7265625" style="129" customWidth="1"/>
    <col min="15363" max="15363" width="16.26953125" style="129" customWidth="1"/>
    <col min="15364" max="15616" width="8.7265625" style="129"/>
    <col min="15617" max="15617" width="15.7265625" style="129" customWidth="1"/>
    <col min="15618" max="15618" width="57.7265625" style="129" customWidth="1"/>
    <col min="15619" max="15619" width="16.26953125" style="129" customWidth="1"/>
    <col min="15620" max="15872" width="8.7265625" style="129"/>
    <col min="15873" max="15873" width="15.7265625" style="129" customWidth="1"/>
    <col min="15874" max="15874" width="57.7265625" style="129" customWidth="1"/>
    <col min="15875" max="15875" width="16.26953125" style="129" customWidth="1"/>
    <col min="15876" max="16128" width="8.7265625" style="129"/>
    <col min="16129" max="16129" width="15.7265625" style="129" customWidth="1"/>
    <col min="16130" max="16130" width="57.7265625" style="129" customWidth="1"/>
    <col min="16131" max="16131" width="16.26953125" style="129" customWidth="1"/>
    <col min="16132" max="16384" width="8.7265625" style="129"/>
  </cols>
  <sheetData>
    <row r="1" spans="1:10" ht="12" customHeight="1"/>
    <row r="2" spans="1:10" ht="12" customHeight="1"/>
    <row r="3" spans="1:10" ht="25.15" customHeight="1"/>
    <row r="4" spans="1:10" s="133" customFormat="1" ht="25.15" customHeight="1">
      <c r="A4" s="130" t="s">
        <v>0</v>
      </c>
      <c r="B4" s="131"/>
      <c r="C4" s="130"/>
      <c r="D4" s="132"/>
      <c r="E4" s="132"/>
      <c r="F4" s="132"/>
      <c r="G4" s="132"/>
      <c r="H4" s="132"/>
      <c r="I4" s="132"/>
      <c r="J4" s="132"/>
    </row>
    <row r="5" spans="1:10" ht="10.5" customHeight="1"/>
    <row r="6" spans="1:10" ht="40" customHeight="1">
      <c r="A6" s="134" t="s">
        <v>1</v>
      </c>
      <c r="B6" s="135" t="s">
        <v>2</v>
      </c>
      <c r="C6" s="136" t="s">
        <v>3</v>
      </c>
    </row>
    <row r="7" spans="1:10" ht="40" customHeight="1">
      <c r="A7" s="138" t="s">
        <v>4</v>
      </c>
      <c r="B7" s="135" t="s">
        <v>5</v>
      </c>
      <c r="C7" s="136" t="s">
        <v>3</v>
      </c>
    </row>
    <row r="8" spans="1:10" ht="40" customHeight="1">
      <c r="A8" s="138" t="s">
        <v>6</v>
      </c>
      <c r="B8" s="135" t="s">
        <v>7</v>
      </c>
      <c r="C8" s="136" t="s">
        <v>8</v>
      </c>
    </row>
    <row r="9" spans="1:10" ht="40" customHeight="1">
      <c r="A9" s="138" t="s">
        <v>9</v>
      </c>
      <c r="B9" s="135" t="s">
        <v>10</v>
      </c>
      <c r="C9" s="136" t="s">
        <v>11</v>
      </c>
    </row>
    <row r="10" spans="1:10" ht="40" customHeight="1">
      <c r="A10" s="137" t="s">
        <v>12</v>
      </c>
      <c r="B10" s="135" t="s">
        <v>13</v>
      </c>
      <c r="C10" s="136" t="s">
        <v>11</v>
      </c>
    </row>
    <row r="11" spans="1:10" ht="40" customHeight="1">
      <c r="A11" s="134" t="s">
        <v>14</v>
      </c>
      <c r="B11" s="135" t="s">
        <v>15</v>
      </c>
      <c r="C11" s="136" t="s">
        <v>11</v>
      </c>
    </row>
    <row r="12" spans="1:10" ht="40" customHeight="1">
      <c r="A12" s="138" t="s">
        <v>16</v>
      </c>
      <c r="B12" s="135" t="s">
        <v>17</v>
      </c>
      <c r="C12" s="136" t="s">
        <v>3</v>
      </c>
    </row>
    <row r="13" spans="1:10" ht="40" customHeight="1">
      <c r="A13" s="138" t="s">
        <v>18</v>
      </c>
      <c r="B13" s="135" t="s">
        <v>19</v>
      </c>
      <c r="C13" s="136" t="s">
        <v>11</v>
      </c>
    </row>
    <row r="14" spans="1:10" ht="40" customHeight="1">
      <c r="A14" s="138" t="s">
        <v>20</v>
      </c>
      <c r="B14" s="135" t="s">
        <v>21</v>
      </c>
      <c r="C14" s="136" t="s">
        <v>3</v>
      </c>
    </row>
    <row r="15" spans="1:10" ht="40" customHeight="1">
      <c r="A15" s="137" t="s">
        <v>22</v>
      </c>
      <c r="B15" s="135" t="s">
        <v>23</v>
      </c>
      <c r="C15" s="136" t="s">
        <v>11</v>
      </c>
    </row>
    <row r="16" spans="1:10" ht="40" customHeight="1">
      <c r="A16" s="138" t="s">
        <v>24</v>
      </c>
      <c r="B16" s="135" t="s">
        <v>25</v>
      </c>
      <c r="C16" s="136" t="s">
        <v>11</v>
      </c>
    </row>
    <row r="17" spans="1:4" ht="40" customHeight="1">
      <c r="A17" s="138" t="s">
        <v>26</v>
      </c>
      <c r="B17" s="135" t="s">
        <v>27</v>
      </c>
      <c r="C17" s="136" t="s">
        <v>11</v>
      </c>
    </row>
    <row r="18" spans="1:4" ht="40" customHeight="1">
      <c r="A18" s="138" t="s">
        <v>28</v>
      </c>
      <c r="B18" s="135" t="s">
        <v>29</v>
      </c>
      <c r="C18" s="136" t="s">
        <v>11</v>
      </c>
    </row>
    <row r="19" spans="1:4" ht="40.15" customHeight="1">
      <c r="A19" s="138" t="s">
        <v>30</v>
      </c>
      <c r="B19" s="135" t="s">
        <v>31</v>
      </c>
      <c r="C19" s="139" t="s">
        <v>32</v>
      </c>
    </row>
    <row r="20" spans="1:4" s="127" customFormat="1" ht="40.15" customHeight="1">
      <c r="A20" s="138" t="s">
        <v>33</v>
      </c>
      <c r="B20" s="135" t="s">
        <v>34</v>
      </c>
      <c r="C20" s="139" t="s">
        <v>11</v>
      </c>
    </row>
    <row r="21" spans="1:4" s="127" customFormat="1" ht="40.15" customHeight="1">
      <c r="A21" s="138" t="s">
        <v>35</v>
      </c>
      <c r="B21" s="135" t="s">
        <v>36</v>
      </c>
      <c r="C21" s="139" t="s">
        <v>11</v>
      </c>
    </row>
    <row r="22" spans="1:4" s="127" customFormat="1" ht="40.15" customHeight="1">
      <c r="A22" s="138" t="s">
        <v>37</v>
      </c>
      <c r="B22" s="135" t="s">
        <v>38</v>
      </c>
      <c r="C22" s="139" t="s">
        <v>11</v>
      </c>
    </row>
    <row r="23" spans="1:4" s="127" customFormat="1" ht="40.15" customHeight="1">
      <c r="A23" s="138" t="s">
        <v>39</v>
      </c>
      <c r="B23" s="135" t="s">
        <v>40</v>
      </c>
      <c r="C23" s="139" t="s">
        <v>11</v>
      </c>
    </row>
    <row r="24" spans="1:4" s="127" customFormat="1" ht="40.15" customHeight="1">
      <c r="A24" s="138" t="s">
        <v>41</v>
      </c>
      <c r="B24" s="135" t="s">
        <v>42</v>
      </c>
      <c r="C24" s="139" t="s">
        <v>11</v>
      </c>
    </row>
    <row r="25" spans="1:4" s="127" customFormat="1" ht="40.15" customHeight="1">
      <c r="A25" s="138" t="s">
        <v>43</v>
      </c>
      <c r="B25" s="135" t="s">
        <v>44</v>
      </c>
      <c r="C25" s="139" t="s">
        <v>11</v>
      </c>
    </row>
    <row r="26" spans="1:4" s="127" customFormat="1" ht="40.4" customHeight="1">
      <c r="A26" s="138" t="s">
        <v>45</v>
      </c>
      <c r="B26" s="135" t="s">
        <v>46</v>
      </c>
      <c r="C26" s="139" t="s">
        <v>11</v>
      </c>
    </row>
    <row r="27" spans="1:4" s="127" customFormat="1" ht="50.25" customHeight="1">
      <c r="A27" s="134" t="s">
        <v>47</v>
      </c>
      <c r="B27" s="135" t="s">
        <v>48</v>
      </c>
      <c r="C27" s="139" t="s">
        <v>32</v>
      </c>
      <c r="D27"/>
    </row>
    <row r="28" spans="1:4" ht="25">
      <c r="A28" s="260" t="s">
        <v>49</v>
      </c>
      <c r="B28" s="261" t="s">
        <v>50</v>
      </c>
      <c r="C28" s="262" t="s">
        <v>32</v>
      </c>
      <c r="D28"/>
    </row>
    <row r="29" spans="1:4">
      <c r="A29" s="263"/>
      <c r="B29" s="264"/>
      <c r="C29" s="263"/>
    </row>
  </sheetData>
  <hyperlinks>
    <hyperlink ref="A19" location="'6.14'!A1" display="Tavola 6.14" xr:uid="{00000000-0004-0000-0000-000000000000}"/>
    <hyperlink ref="A20" location="'6.15'!A1" display="Tavola 6.15" xr:uid="{00000000-0004-0000-0000-000001000000}"/>
    <hyperlink ref="A21" location="'6.16'!A1" display="Tavola 6.13" xr:uid="{00000000-0004-0000-0000-000002000000}"/>
    <hyperlink ref="A22" location="'6.17'!A1" display="Tavola 6.17" xr:uid="{00000000-0004-0000-0000-000003000000}"/>
    <hyperlink ref="A23" location="'6.18'!A1" display="Tavola 6.18" xr:uid="{00000000-0004-0000-0000-000004000000}"/>
    <hyperlink ref="A24" location="'6.19'!A1" display="Tavola 6.19" xr:uid="{00000000-0004-0000-0000-000005000000}"/>
    <hyperlink ref="A25" location="'6.20'!A1" display="Tavola 6.20" xr:uid="{00000000-0004-0000-0000-000006000000}"/>
    <hyperlink ref="A26" location="'6.21'!A1" display="Tavola 6.21" xr:uid="{00000000-0004-0000-0000-000007000000}"/>
    <hyperlink ref="A6" location="'6.1'!A1" display="Tavola 6.1 " xr:uid="{00000000-0004-0000-0000-000008000000}"/>
    <hyperlink ref="A7" location="'6.2 '!A1" display="Tavola 6.2" xr:uid="{00000000-0004-0000-0000-000009000000}"/>
    <hyperlink ref="A8" location="'6.3 '!A1" display="Tavola 6.3" xr:uid="{00000000-0004-0000-0000-00000A000000}"/>
    <hyperlink ref="A9" location="' 6.4'!A1" display="Tavola 6.4" xr:uid="{00000000-0004-0000-0000-00000B000000}"/>
    <hyperlink ref="A10" location="6.5!A1" display="6.5!A1" xr:uid="{00000000-0004-0000-0000-00000C000000}"/>
    <hyperlink ref="A11" location="'6.6'!A1" display="Tavola 6.6" xr:uid="{00000000-0004-0000-0000-00000D000000}"/>
    <hyperlink ref="A12" location="'6.7 '!A1" display="Tavola 6.7" xr:uid="{00000000-0004-0000-0000-00000E000000}"/>
    <hyperlink ref="A13" location="'6.8 '!A1" display="Tavola 6.8" xr:uid="{00000000-0004-0000-0000-00000F000000}"/>
    <hyperlink ref="A14" location="' 6.9'!A1" display="Tavola 6.9" xr:uid="{00000000-0004-0000-0000-000010000000}"/>
    <hyperlink ref="A15" location="6.10!A1" display="6.10!A1" xr:uid="{00000000-0004-0000-0000-000011000000}"/>
    <hyperlink ref="A27" location="'6.22'!A1" display="Tavola 6.22" xr:uid="{00000000-0004-0000-0000-000012000000}"/>
    <hyperlink ref="A28" location="'6.23'!A1" display="Tavola 6.23" xr:uid="{00000000-0004-0000-0000-000013000000}"/>
    <hyperlink ref="A16" location="'6.11'!A1" display="Tavola 6.11" xr:uid="{00000000-0004-0000-0000-000014000000}"/>
    <hyperlink ref="A17" location="'6.12'!A1" display="Tavola 6.12" xr:uid="{00000000-0004-0000-0000-000015000000}"/>
    <hyperlink ref="A18" location="'6.13'!A1" display="Tavola 6.13" xr:uid="{00000000-0004-0000-0000-000016000000}"/>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51"/>
  <sheetViews>
    <sheetView workbookViewId="0">
      <selection activeCell="A4" sqref="A4"/>
    </sheetView>
  </sheetViews>
  <sheetFormatPr defaultColWidth="8.81640625" defaultRowHeight="14.5"/>
  <cols>
    <col min="1" max="1" width="26.7265625" customWidth="1"/>
    <col min="2" max="4" width="11.7265625" customWidth="1"/>
    <col min="120" max="120" width="41.81640625" customWidth="1"/>
    <col min="121" max="121" width="10.1796875" bestFit="1" customWidth="1"/>
    <col min="136" max="136" width="26.7265625" customWidth="1"/>
    <col min="137" max="141" width="11.7265625" customWidth="1"/>
    <col min="142" max="142" width="12.453125" bestFit="1" customWidth="1"/>
    <col min="143" max="148" width="9.1796875" customWidth="1"/>
    <col min="179" max="179" width="26.7265625" customWidth="1"/>
    <col min="180" max="184" width="11.7265625" customWidth="1"/>
    <col min="376" max="376" width="41.81640625" customWidth="1"/>
    <col min="377" max="377" width="10.1796875" bestFit="1" customWidth="1"/>
    <col min="392" max="392" width="26.7265625" customWidth="1"/>
    <col min="393" max="397" width="11.7265625" customWidth="1"/>
    <col min="398" max="398" width="12.453125" bestFit="1" customWidth="1"/>
    <col min="399" max="404" width="9.1796875" customWidth="1"/>
    <col min="435" max="435" width="26.7265625" customWidth="1"/>
    <col min="436" max="440" width="11.7265625" customWidth="1"/>
    <col min="632" max="632" width="41.81640625" customWidth="1"/>
    <col min="633" max="633" width="10.1796875" bestFit="1" customWidth="1"/>
    <col min="648" max="648" width="26.7265625" customWidth="1"/>
    <col min="649" max="653" width="11.7265625" customWidth="1"/>
    <col min="654" max="654" width="12.453125" bestFit="1" customWidth="1"/>
    <col min="655" max="660" width="9.1796875" customWidth="1"/>
    <col min="691" max="691" width="26.7265625" customWidth="1"/>
    <col min="692" max="696" width="11.7265625" customWidth="1"/>
    <col min="888" max="888" width="41.81640625" customWidth="1"/>
    <col min="889" max="889" width="10.1796875" bestFit="1" customWidth="1"/>
    <col min="904" max="904" width="26.7265625" customWidth="1"/>
    <col min="905" max="909" width="11.7265625" customWidth="1"/>
    <col min="910" max="910" width="12.453125" bestFit="1" customWidth="1"/>
    <col min="911" max="916" width="9.1796875" customWidth="1"/>
    <col min="947" max="947" width="26.7265625" customWidth="1"/>
    <col min="948" max="952" width="11.7265625" customWidth="1"/>
    <col min="1144" max="1144" width="41.81640625" customWidth="1"/>
    <col min="1145" max="1145" width="10.1796875" bestFit="1" customWidth="1"/>
    <col min="1160" max="1160" width="26.7265625" customWidth="1"/>
    <col min="1161" max="1165" width="11.7265625" customWidth="1"/>
    <col min="1166" max="1166" width="12.453125" bestFit="1" customWidth="1"/>
    <col min="1167" max="1172" width="9.1796875" customWidth="1"/>
    <col min="1203" max="1203" width="26.7265625" customWidth="1"/>
    <col min="1204" max="1208" width="11.7265625" customWidth="1"/>
    <col min="1400" max="1400" width="41.81640625" customWidth="1"/>
    <col min="1401" max="1401" width="10.1796875" bestFit="1" customWidth="1"/>
    <col min="1416" max="1416" width="26.7265625" customWidth="1"/>
    <col min="1417" max="1421" width="11.7265625" customWidth="1"/>
    <col min="1422" max="1422" width="12.453125" bestFit="1" customWidth="1"/>
    <col min="1423" max="1428" width="9.1796875" customWidth="1"/>
    <col min="1459" max="1459" width="26.7265625" customWidth="1"/>
    <col min="1460" max="1464" width="11.7265625" customWidth="1"/>
    <col min="1656" max="1656" width="41.81640625" customWidth="1"/>
    <col min="1657" max="1657" width="10.1796875" bestFit="1" customWidth="1"/>
    <col min="1672" max="1672" width="26.7265625" customWidth="1"/>
    <col min="1673" max="1677" width="11.7265625" customWidth="1"/>
    <col min="1678" max="1678" width="12.453125" bestFit="1" customWidth="1"/>
    <col min="1679" max="1684" width="9.1796875" customWidth="1"/>
    <col min="1715" max="1715" width="26.7265625" customWidth="1"/>
    <col min="1716" max="1720" width="11.7265625" customWidth="1"/>
    <col min="1912" max="1912" width="41.81640625" customWidth="1"/>
    <col min="1913" max="1913" width="10.1796875" bestFit="1" customWidth="1"/>
    <col min="1928" max="1928" width="26.7265625" customWidth="1"/>
    <col min="1929" max="1933" width="11.7265625" customWidth="1"/>
    <col min="1934" max="1934" width="12.453125" bestFit="1" customWidth="1"/>
    <col min="1935" max="1940" width="9.1796875" customWidth="1"/>
    <col min="1971" max="1971" width="26.7265625" customWidth="1"/>
    <col min="1972" max="1976" width="11.7265625" customWidth="1"/>
    <col min="2168" max="2168" width="41.81640625" customWidth="1"/>
    <col min="2169" max="2169" width="10.1796875" bestFit="1" customWidth="1"/>
    <col min="2184" max="2184" width="26.7265625" customWidth="1"/>
    <col min="2185" max="2189" width="11.7265625" customWidth="1"/>
    <col min="2190" max="2190" width="12.453125" bestFit="1" customWidth="1"/>
    <col min="2191" max="2196" width="9.1796875" customWidth="1"/>
    <col min="2227" max="2227" width="26.7265625" customWidth="1"/>
    <col min="2228" max="2232" width="11.7265625" customWidth="1"/>
    <col min="2424" max="2424" width="41.81640625" customWidth="1"/>
    <col min="2425" max="2425" width="10.1796875" bestFit="1" customWidth="1"/>
    <col min="2440" max="2440" width="26.7265625" customWidth="1"/>
    <col min="2441" max="2445" width="11.7265625" customWidth="1"/>
    <col min="2446" max="2446" width="12.453125" bestFit="1" customWidth="1"/>
    <col min="2447" max="2452" width="9.1796875" customWidth="1"/>
    <col min="2483" max="2483" width="26.7265625" customWidth="1"/>
    <col min="2484" max="2488" width="11.7265625" customWidth="1"/>
    <col min="2680" max="2680" width="41.81640625" customWidth="1"/>
    <col min="2681" max="2681" width="10.1796875" bestFit="1" customWidth="1"/>
    <col min="2696" max="2696" width="26.7265625" customWidth="1"/>
    <col min="2697" max="2701" width="11.7265625" customWidth="1"/>
    <col min="2702" max="2702" width="12.453125" bestFit="1" customWidth="1"/>
    <col min="2703" max="2708" width="9.1796875" customWidth="1"/>
    <col min="2739" max="2739" width="26.7265625" customWidth="1"/>
    <col min="2740" max="2744" width="11.7265625" customWidth="1"/>
    <col min="2936" max="2936" width="41.81640625" customWidth="1"/>
    <col min="2937" max="2937" width="10.1796875" bestFit="1" customWidth="1"/>
    <col min="2952" max="2952" width="26.7265625" customWidth="1"/>
    <col min="2953" max="2957" width="11.7265625" customWidth="1"/>
    <col min="2958" max="2958" width="12.453125" bestFit="1" customWidth="1"/>
    <col min="2959" max="2964" width="9.1796875" customWidth="1"/>
    <col min="2995" max="2995" width="26.7265625" customWidth="1"/>
    <col min="2996" max="3000" width="11.7265625" customWidth="1"/>
    <col min="3192" max="3192" width="41.81640625" customWidth="1"/>
    <col min="3193" max="3193" width="10.1796875" bestFit="1" customWidth="1"/>
    <col min="3208" max="3208" width="26.7265625" customWidth="1"/>
    <col min="3209" max="3213" width="11.7265625" customWidth="1"/>
    <col min="3214" max="3214" width="12.453125" bestFit="1" customWidth="1"/>
    <col min="3215" max="3220" width="9.1796875" customWidth="1"/>
    <col min="3251" max="3251" width="26.7265625" customWidth="1"/>
    <col min="3252" max="3256" width="11.7265625" customWidth="1"/>
    <col min="3448" max="3448" width="41.81640625" customWidth="1"/>
    <col min="3449" max="3449" width="10.1796875" bestFit="1" customWidth="1"/>
    <col min="3464" max="3464" width="26.7265625" customWidth="1"/>
    <col min="3465" max="3469" width="11.7265625" customWidth="1"/>
    <col min="3470" max="3470" width="12.453125" bestFit="1" customWidth="1"/>
    <col min="3471" max="3476" width="9.1796875" customWidth="1"/>
    <col min="3507" max="3507" width="26.7265625" customWidth="1"/>
    <col min="3508" max="3512" width="11.7265625" customWidth="1"/>
    <col min="3704" max="3704" width="41.81640625" customWidth="1"/>
    <col min="3705" max="3705" width="10.1796875" bestFit="1" customWidth="1"/>
    <col min="3720" max="3720" width="26.7265625" customWidth="1"/>
    <col min="3721" max="3725" width="11.7265625" customWidth="1"/>
    <col min="3726" max="3726" width="12.453125" bestFit="1" customWidth="1"/>
    <col min="3727" max="3732" width="9.1796875" customWidth="1"/>
    <col min="3763" max="3763" width="26.7265625" customWidth="1"/>
    <col min="3764" max="3768" width="11.7265625" customWidth="1"/>
    <col min="3960" max="3960" width="41.81640625" customWidth="1"/>
    <col min="3961" max="3961" width="10.1796875" bestFit="1" customWidth="1"/>
    <col min="3976" max="3976" width="26.7265625" customWidth="1"/>
    <col min="3977" max="3981" width="11.7265625" customWidth="1"/>
    <col min="3982" max="3982" width="12.453125" bestFit="1" customWidth="1"/>
    <col min="3983" max="3988" width="9.1796875" customWidth="1"/>
    <col min="4019" max="4019" width="26.7265625" customWidth="1"/>
    <col min="4020" max="4024" width="11.7265625" customWidth="1"/>
    <col min="4216" max="4216" width="41.81640625" customWidth="1"/>
    <col min="4217" max="4217" width="10.1796875" bestFit="1" customWidth="1"/>
    <col min="4232" max="4232" width="26.7265625" customWidth="1"/>
    <col min="4233" max="4237" width="11.7265625" customWidth="1"/>
    <col min="4238" max="4238" width="12.453125" bestFit="1" customWidth="1"/>
    <col min="4239" max="4244" width="9.1796875" customWidth="1"/>
    <col min="4275" max="4275" width="26.7265625" customWidth="1"/>
    <col min="4276" max="4280" width="11.7265625" customWidth="1"/>
    <col min="4472" max="4472" width="41.81640625" customWidth="1"/>
    <col min="4473" max="4473" width="10.1796875" bestFit="1" customWidth="1"/>
    <col min="4488" max="4488" width="26.7265625" customWidth="1"/>
    <col min="4489" max="4493" width="11.7265625" customWidth="1"/>
    <col min="4494" max="4494" width="12.453125" bestFit="1" customWidth="1"/>
    <col min="4495" max="4500" width="9.1796875" customWidth="1"/>
    <col min="4531" max="4531" width="26.7265625" customWidth="1"/>
    <col min="4532" max="4536" width="11.7265625" customWidth="1"/>
    <col min="4728" max="4728" width="41.81640625" customWidth="1"/>
    <col min="4729" max="4729" width="10.1796875" bestFit="1" customWidth="1"/>
    <col min="4744" max="4744" width="26.7265625" customWidth="1"/>
    <col min="4745" max="4749" width="11.7265625" customWidth="1"/>
    <col min="4750" max="4750" width="12.453125" bestFit="1" customWidth="1"/>
    <col min="4751" max="4756" width="9.1796875" customWidth="1"/>
    <col min="4787" max="4787" width="26.7265625" customWidth="1"/>
    <col min="4788" max="4792" width="11.7265625" customWidth="1"/>
    <col min="4984" max="4984" width="41.81640625" customWidth="1"/>
    <col min="4985" max="4985" width="10.1796875" bestFit="1" customWidth="1"/>
    <col min="5000" max="5000" width="26.7265625" customWidth="1"/>
    <col min="5001" max="5005" width="11.7265625" customWidth="1"/>
    <col min="5006" max="5006" width="12.453125" bestFit="1" customWidth="1"/>
    <col min="5007" max="5012" width="9.1796875" customWidth="1"/>
    <col min="5043" max="5043" width="26.7265625" customWidth="1"/>
    <col min="5044" max="5048" width="11.7265625" customWidth="1"/>
    <col min="5240" max="5240" width="41.81640625" customWidth="1"/>
    <col min="5241" max="5241" width="10.1796875" bestFit="1" customWidth="1"/>
    <col min="5256" max="5256" width="26.7265625" customWidth="1"/>
    <col min="5257" max="5261" width="11.7265625" customWidth="1"/>
    <col min="5262" max="5262" width="12.453125" bestFit="1" customWidth="1"/>
    <col min="5263" max="5268" width="9.1796875" customWidth="1"/>
    <col min="5299" max="5299" width="26.7265625" customWidth="1"/>
    <col min="5300" max="5304" width="11.7265625" customWidth="1"/>
    <col min="5496" max="5496" width="41.81640625" customWidth="1"/>
    <col min="5497" max="5497" width="10.1796875" bestFit="1" customWidth="1"/>
    <col min="5512" max="5512" width="26.7265625" customWidth="1"/>
    <col min="5513" max="5517" width="11.7265625" customWidth="1"/>
    <col min="5518" max="5518" width="12.453125" bestFit="1" customWidth="1"/>
    <col min="5519" max="5524" width="9.1796875" customWidth="1"/>
    <col min="5555" max="5555" width="26.7265625" customWidth="1"/>
    <col min="5556" max="5560" width="11.7265625" customWidth="1"/>
    <col min="5752" max="5752" width="41.81640625" customWidth="1"/>
    <col min="5753" max="5753" width="10.1796875" bestFit="1" customWidth="1"/>
    <col min="5768" max="5768" width="26.7265625" customWidth="1"/>
    <col min="5769" max="5773" width="11.7265625" customWidth="1"/>
    <col min="5774" max="5774" width="12.453125" bestFit="1" customWidth="1"/>
    <col min="5775" max="5780" width="9.1796875" customWidth="1"/>
    <col min="5811" max="5811" width="26.7265625" customWidth="1"/>
    <col min="5812" max="5816" width="11.7265625" customWidth="1"/>
    <col min="6008" max="6008" width="41.81640625" customWidth="1"/>
    <col min="6009" max="6009" width="10.1796875" bestFit="1" customWidth="1"/>
    <col min="6024" max="6024" width="26.7265625" customWidth="1"/>
    <col min="6025" max="6029" width="11.7265625" customWidth="1"/>
    <col min="6030" max="6030" width="12.453125" bestFit="1" customWidth="1"/>
    <col min="6031" max="6036" width="9.1796875" customWidth="1"/>
    <col min="6067" max="6067" width="26.7265625" customWidth="1"/>
    <col min="6068" max="6072" width="11.7265625" customWidth="1"/>
    <col min="6264" max="6264" width="41.81640625" customWidth="1"/>
    <col min="6265" max="6265" width="10.1796875" bestFit="1" customWidth="1"/>
    <col min="6280" max="6280" width="26.7265625" customWidth="1"/>
    <col min="6281" max="6285" width="11.7265625" customWidth="1"/>
    <col min="6286" max="6286" width="12.453125" bestFit="1" customWidth="1"/>
    <col min="6287" max="6292" width="9.1796875" customWidth="1"/>
    <col min="6323" max="6323" width="26.7265625" customWidth="1"/>
    <col min="6324" max="6328" width="11.7265625" customWidth="1"/>
    <col min="6520" max="6520" width="41.81640625" customWidth="1"/>
    <col min="6521" max="6521" width="10.1796875" bestFit="1" customWidth="1"/>
    <col min="6536" max="6536" width="26.7265625" customWidth="1"/>
    <col min="6537" max="6541" width="11.7265625" customWidth="1"/>
    <col min="6542" max="6542" width="12.453125" bestFit="1" customWidth="1"/>
    <col min="6543" max="6548" width="9.1796875" customWidth="1"/>
    <col min="6579" max="6579" width="26.7265625" customWidth="1"/>
    <col min="6580" max="6584" width="11.7265625" customWidth="1"/>
    <col min="6776" max="6776" width="41.81640625" customWidth="1"/>
    <col min="6777" max="6777" width="10.1796875" bestFit="1" customWidth="1"/>
    <col min="6792" max="6792" width="26.7265625" customWidth="1"/>
    <col min="6793" max="6797" width="11.7265625" customWidth="1"/>
    <col min="6798" max="6798" width="12.453125" bestFit="1" customWidth="1"/>
    <col min="6799" max="6804" width="9.1796875" customWidth="1"/>
    <col min="6835" max="6835" width="26.7265625" customWidth="1"/>
    <col min="6836" max="6840" width="11.7265625" customWidth="1"/>
    <col min="7032" max="7032" width="41.81640625" customWidth="1"/>
    <col min="7033" max="7033" width="10.1796875" bestFit="1" customWidth="1"/>
    <col min="7048" max="7048" width="26.7265625" customWidth="1"/>
    <col min="7049" max="7053" width="11.7265625" customWidth="1"/>
    <col min="7054" max="7054" width="12.453125" bestFit="1" customWidth="1"/>
    <col min="7055" max="7060" width="9.1796875" customWidth="1"/>
    <col min="7091" max="7091" width="26.7265625" customWidth="1"/>
    <col min="7092" max="7096" width="11.7265625" customWidth="1"/>
    <col min="7288" max="7288" width="41.81640625" customWidth="1"/>
    <col min="7289" max="7289" width="10.1796875" bestFit="1" customWidth="1"/>
    <col min="7304" max="7304" width="26.7265625" customWidth="1"/>
    <col min="7305" max="7309" width="11.7265625" customWidth="1"/>
    <col min="7310" max="7310" width="12.453125" bestFit="1" customWidth="1"/>
    <col min="7311" max="7316" width="9.1796875" customWidth="1"/>
    <col min="7347" max="7347" width="26.7265625" customWidth="1"/>
    <col min="7348" max="7352" width="11.7265625" customWidth="1"/>
    <col min="7544" max="7544" width="41.81640625" customWidth="1"/>
    <col min="7545" max="7545" width="10.1796875" bestFit="1" customWidth="1"/>
    <col min="7560" max="7560" width="26.7265625" customWidth="1"/>
    <col min="7561" max="7565" width="11.7265625" customWidth="1"/>
    <col min="7566" max="7566" width="12.453125" bestFit="1" customWidth="1"/>
    <col min="7567" max="7572" width="9.1796875" customWidth="1"/>
    <col min="7603" max="7603" width="26.7265625" customWidth="1"/>
    <col min="7604" max="7608" width="11.7265625" customWidth="1"/>
    <col min="7800" max="7800" width="41.81640625" customWidth="1"/>
    <col min="7801" max="7801" width="10.1796875" bestFit="1" customWidth="1"/>
    <col min="7816" max="7816" width="26.7265625" customWidth="1"/>
    <col min="7817" max="7821" width="11.7265625" customWidth="1"/>
    <col min="7822" max="7822" width="12.453125" bestFit="1" customWidth="1"/>
    <col min="7823" max="7828" width="9.1796875" customWidth="1"/>
    <col min="7859" max="7859" width="26.7265625" customWidth="1"/>
    <col min="7860" max="7864" width="11.7265625" customWidth="1"/>
    <col min="8056" max="8056" width="41.81640625" customWidth="1"/>
    <col min="8057" max="8057" width="10.1796875" bestFit="1" customWidth="1"/>
    <col min="8072" max="8072" width="26.7265625" customWidth="1"/>
    <col min="8073" max="8077" width="11.7265625" customWidth="1"/>
    <col min="8078" max="8078" width="12.453125" bestFit="1" customWidth="1"/>
    <col min="8079" max="8084" width="9.1796875" customWidth="1"/>
    <col min="8115" max="8115" width="26.7265625" customWidth="1"/>
    <col min="8116" max="8120" width="11.7265625" customWidth="1"/>
    <col min="8312" max="8312" width="41.81640625" customWidth="1"/>
    <col min="8313" max="8313" width="10.1796875" bestFit="1" customWidth="1"/>
    <col min="8328" max="8328" width="26.7265625" customWidth="1"/>
    <col min="8329" max="8333" width="11.7265625" customWidth="1"/>
    <col min="8334" max="8334" width="12.453125" bestFit="1" customWidth="1"/>
    <col min="8335" max="8340" width="9.1796875" customWidth="1"/>
    <col min="8371" max="8371" width="26.7265625" customWidth="1"/>
    <col min="8372" max="8376" width="11.7265625" customWidth="1"/>
    <col min="8568" max="8568" width="41.81640625" customWidth="1"/>
    <col min="8569" max="8569" width="10.1796875" bestFit="1" customWidth="1"/>
    <col min="8584" max="8584" width="26.7265625" customWidth="1"/>
    <col min="8585" max="8589" width="11.7265625" customWidth="1"/>
    <col min="8590" max="8590" width="12.453125" bestFit="1" customWidth="1"/>
    <col min="8591" max="8596" width="9.1796875" customWidth="1"/>
    <col min="8627" max="8627" width="26.7265625" customWidth="1"/>
    <col min="8628" max="8632" width="11.7265625" customWidth="1"/>
    <col min="8824" max="8824" width="41.81640625" customWidth="1"/>
    <col min="8825" max="8825" width="10.1796875" bestFit="1" customWidth="1"/>
    <col min="8840" max="8840" width="26.7265625" customWidth="1"/>
    <col min="8841" max="8845" width="11.7265625" customWidth="1"/>
    <col min="8846" max="8846" width="12.453125" bestFit="1" customWidth="1"/>
    <col min="8847" max="8852" width="9.1796875" customWidth="1"/>
    <col min="8883" max="8883" width="26.7265625" customWidth="1"/>
    <col min="8884" max="8888" width="11.7265625" customWidth="1"/>
    <col min="9080" max="9080" width="41.81640625" customWidth="1"/>
    <col min="9081" max="9081" width="10.1796875" bestFit="1" customWidth="1"/>
    <col min="9096" max="9096" width="26.7265625" customWidth="1"/>
    <col min="9097" max="9101" width="11.7265625" customWidth="1"/>
    <col min="9102" max="9102" width="12.453125" bestFit="1" customWidth="1"/>
    <col min="9103" max="9108" width="9.1796875" customWidth="1"/>
    <col min="9139" max="9139" width="26.7265625" customWidth="1"/>
    <col min="9140" max="9144" width="11.7265625" customWidth="1"/>
    <col min="9336" max="9336" width="41.81640625" customWidth="1"/>
    <col min="9337" max="9337" width="10.1796875" bestFit="1" customWidth="1"/>
    <col min="9352" max="9352" width="26.7265625" customWidth="1"/>
    <col min="9353" max="9357" width="11.7265625" customWidth="1"/>
    <col min="9358" max="9358" width="12.453125" bestFit="1" customWidth="1"/>
    <col min="9359" max="9364" width="9.1796875" customWidth="1"/>
    <col min="9395" max="9395" width="26.7265625" customWidth="1"/>
    <col min="9396" max="9400" width="11.7265625" customWidth="1"/>
    <col min="9592" max="9592" width="41.81640625" customWidth="1"/>
    <col min="9593" max="9593" width="10.1796875" bestFit="1" customWidth="1"/>
    <col min="9608" max="9608" width="26.7265625" customWidth="1"/>
    <col min="9609" max="9613" width="11.7265625" customWidth="1"/>
    <col min="9614" max="9614" width="12.453125" bestFit="1" customWidth="1"/>
    <col min="9615" max="9620" width="9.1796875" customWidth="1"/>
    <col min="9651" max="9651" width="26.7265625" customWidth="1"/>
    <col min="9652" max="9656" width="11.7265625" customWidth="1"/>
    <col min="9848" max="9848" width="41.81640625" customWidth="1"/>
    <col min="9849" max="9849" width="10.1796875" bestFit="1" customWidth="1"/>
    <col min="9864" max="9864" width="26.7265625" customWidth="1"/>
    <col min="9865" max="9869" width="11.7265625" customWidth="1"/>
    <col min="9870" max="9870" width="12.453125" bestFit="1" customWidth="1"/>
    <col min="9871" max="9876" width="9.1796875" customWidth="1"/>
    <col min="9907" max="9907" width="26.7265625" customWidth="1"/>
    <col min="9908" max="9912" width="11.7265625" customWidth="1"/>
    <col min="10104" max="10104" width="41.81640625" customWidth="1"/>
    <col min="10105" max="10105" width="10.1796875" bestFit="1" customWidth="1"/>
    <col min="10120" max="10120" width="26.7265625" customWidth="1"/>
    <col min="10121" max="10125" width="11.7265625" customWidth="1"/>
    <col min="10126" max="10126" width="12.453125" bestFit="1" customWidth="1"/>
    <col min="10127" max="10132" width="9.1796875" customWidth="1"/>
    <col min="10163" max="10163" width="26.7265625" customWidth="1"/>
    <col min="10164" max="10168" width="11.7265625" customWidth="1"/>
    <col min="10360" max="10360" width="41.81640625" customWidth="1"/>
    <col min="10361" max="10361" width="10.1796875" bestFit="1" customWidth="1"/>
    <col min="10376" max="10376" width="26.7265625" customWidth="1"/>
    <col min="10377" max="10381" width="11.7265625" customWidth="1"/>
    <col min="10382" max="10382" width="12.453125" bestFit="1" customWidth="1"/>
    <col min="10383" max="10388" width="9.1796875" customWidth="1"/>
    <col min="10419" max="10419" width="26.7265625" customWidth="1"/>
    <col min="10420" max="10424" width="11.7265625" customWidth="1"/>
    <col min="10616" max="10616" width="41.81640625" customWidth="1"/>
    <col min="10617" max="10617" width="10.1796875" bestFit="1" customWidth="1"/>
    <col min="10632" max="10632" width="26.7265625" customWidth="1"/>
    <col min="10633" max="10637" width="11.7265625" customWidth="1"/>
    <col min="10638" max="10638" width="12.453125" bestFit="1" customWidth="1"/>
    <col min="10639" max="10644" width="9.1796875" customWidth="1"/>
    <col min="10675" max="10675" width="26.7265625" customWidth="1"/>
    <col min="10676" max="10680" width="11.7265625" customWidth="1"/>
    <col min="10872" max="10872" width="41.81640625" customWidth="1"/>
    <col min="10873" max="10873" width="10.1796875" bestFit="1" customWidth="1"/>
    <col min="10888" max="10888" width="26.7265625" customWidth="1"/>
    <col min="10889" max="10893" width="11.7265625" customWidth="1"/>
    <col min="10894" max="10894" width="12.453125" bestFit="1" customWidth="1"/>
    <col min="10895" max="10900" width="9.1796875" customWidth="1"/>
    <col min="10931" max="10931" width="26.7265625" customWidth="1"/>
    <col min="10932" max="10936" width="11.7265625" customWidth="1"/>
    <col min="11128" max="11128" width="41.81640625" customWidth="1"/>
    <col min="11129" max="11129" width="10.1796875" bestFit="1" customWidth="1"/>
    <col min="11144" max="11144" width="26.7265625" customWidth="1"/>
    <col min="11145" max="11149" width="11.7265625" customWidth="1"/>
    <col min="11150" max="11150" width="12.453125" bestFit="1" customWidth="1"/>
    <col min="11151" max="11156" width="9.1796875" customWidth="1"/>
    <col min="11187" max="11187" width="26.7265625" customWidth="1"/>
    <col min="11188" max="11192" width="11.7265625" customWidth="1"/>
    <col min="11384" max="11384" width="41.81640625" customWidth="1"/>
    <col min="11385" max="11385" width="10.1796875" bestFit="1" customWidth="1"/>
    <col min="11400" max="11400" width="26.7265625" customWidth="1"/>
    <col min="11401" max="11405" width="11.7265625" customWidth="1"/>
    <col min="11406" max="11406" width="12.453125" bestFit="1" customWidth="1"/>
    <col min="11407" max="11412" width="9.1796875" customWidth="1"/>
    <col min="11443" max="11443" width="26.7265625" customWidth="1"/>
    <col min="11444" max="11448" width="11.7265625" customWidth="1"/>
    <col min="11640" max="11640" width="41.81640625" customWidth="1"/>
    <col min="11641" max="11641" width="10.1796875" bestFit="1" customWidth="1"/>
    <col min="11656" max="11656" width="26.7265625" customWidth="1"/>
    <col min="11657" max="11661" width="11.7265625" customWidth="1"/>
    <col min="11662" max="11662" width="12.453125" bestFit="1" customWidth="1"/>
    <col min="11663" max="11668" width="9.1796875" customWidth="1"/>
    <col min="11699" max="11699" width="26.7265625" customWidth="1"/>
    <col min="11700" max="11704" width="11.7265625" customWidth="1"/>
    <col min="11896" max="11896" width="41.81640625" customWidth="1"/>
    <col min="11897" max="11897" width="10.1796875" bestFit="1" customWidth="1"/>
    <col min="11912" max="11912" width="26.7265625" customWidth="1"/>
    <col min="11913" max="11917" width="11.7265625" customWidth="1"/>
    <col min="11918" max="11918" width="12.453125" bestFit="1" customWidth="1"/>
    <col min="11919" max="11924" width="9.1796875" customWidth="1"/>
    <col min="11955" max="11955" width="26.7265625" customWidth="1"/>
    <col min="11956" max="11960" width="11.7265625" customWidth="1"/>
    <col min="12152" max="12152" width="41.81640625" customWidth="1"/>
    <col min="12153" max="12153" width="10.1796875" bestFit="1" customWidth="1"/>
    <col min="12168" max="12168" width="26.7265625" customWidth="1"/>
    <col min="12169" max="12173" width="11.7265625" customWidth="1"/>
    <col min="12174" max="12174" width="12.453125" bestFit="1" customWidth="1"/>
    <col min="12175" max="12180" width="9.1796875" customWidth="1"/>
    <col min="12211" max="12211" width="26.7265625" customWidth="1"/>
    <col min="12212" max="12216" width="11.7265625" customWidth="1"/>
    <col min="12408" max="12408" width="41.81640625" customWidth="1"/>
    <col min="12409" max="12409" width="10.1796875" bestFit="1" customWidth="1"/>
    <col min="12424" max="12424" width="26.7265625" customWidth="1"/>
    <col min="12425" max="12429" width="11.7265625" customWidth="1"/>
    <col min="12430" max="12430" width="12.453125" bestFit="1" customWidth="1"/>
    <col min="12431" max="12436" width="9.1796875" customWidth="1"/>
    <col min="12467" max="12467" width="26.7265625" customWidth="1"/>
    <col min="12468" max="12472" width="11.7265625" customWidth="1"/>
    <col min="12664" max="12664" width="41.81640625" customWidth="1"/>
    <col min="12665" max="12665" width="10.1796875" bestFit="1" customWidth="1"/>
    <col min="12680" max="12680" width="26.7265625" customWidth="1"/>
    <col min="12681" max="12685" width="11.7265625" customWidth="1"/>
    <col min="12686" max="12686" width="12.453125" bestFit="1" customWidth="1"/>
    <col min="12687" max="12692" width="9.1796875" customWidth="1"/>
    <col min="12723" max="12723" width="26.7265625" customWidth="1"/>
    <col min="12724" max="12728" width="11.7265625" customWidth="1"/>
    <col min="12920" max="12920" width="41.81640625" customWidth="1"/>
    <col min="12921" max="12921" width="10.1796875" bestFit="1" customWidth="1"/>
    <col min="12936" max="12936" width="26.7265625" customWidth="1"/>
    <col min="12937" max="12941" width="11.7265625" customWidth="1"/>
    <col min="12942" max="12942" width="12.453125" bestFit="1" customWidth="1"/>
    <col min="12943" max="12948" width="9.1796875" customWidth="1"/>
    <col min="12979" max="12979" width="26.7265625" customWidth="1"/>
    <col min="12980" max="12984" width="11.7265625" customWidth="1"/>
    <col min="13176" max="13176" width="41.81640625" customWidth="1"/>
    <col min="13177" max="13177" width="10.1796875" bestFit="1" customWidth="1"/>
    <col min="13192" max="13192" width="26.7265625" customWidth="1"/>
    <col min="13193" max="13197" width="11.7265625" customWidth="1"/>
    <col min="13198" max="13198" width="12.453125" bestFit="1" customWidth="1"/>
    <col min="13199" max="13204" width="9.1796875" customWidth="1"/>
    <col min="13235" max="13235" width="26.7265625" customWidth="1"/>
    <col min="13236" max="13240" width="11.7265625" customWidth="1"/>
    <col min="13432" max="13432" width="41.81640625" customWidth="1"/>
    <col min="13433" max="13433" width="10.1796875" bestFit="1" customWidth="1"/>
    <col min="13448" max="13448" width="26.7265625" customWidth="1"/>
    <col min="13449" max="13453" width="11.7265625" customWidth="1"/>
    <col min="13454" max="13454" width="12.453125" bestFit="1" customWidth="1"/>
    <col min="13455" max="13460" width="9.1796875" customWidth="1"/>
    <col min="13491" max="13491" width="26.7265625" customWidth="1"/>
    <col min="13492" max="13496" width="11.7265625" customWidth="1"/>
    <col min="13688" max="13688" width="41.81640625" customWidth="1"/>
    <col min="13689" max="13689" width="10.1796875" bestFit="1" customWidth="1"/>
    <col min="13704" max="13704" width="26.7265625" customWidth="1"/>
    <col min="13705" max="13709" width="11.7265625" customWidth="1"/>
    <col min="13710" max="13710" width="12.453125" bestFit="1" customWidth="1"/>
    <col min="13711" max="13716" width="9.1796875" customWidth="1"/>
    <col min="13747" max="13747" width="26.7265625" customWidth="1"/>
    <col min="13748" max="13752" width="11.7265625" customWidth="1"/>
    <col min="13944" max="13944" width="41.81640625" customWidth="1"/>
    <col min="13945" max="13945" width="10.1796875" bestFit="1" customWidth="1"/>
    <col min="13960" max="13960" width="26.7265625" customWidth="1"/>
    <col min="13961" max="13965" width="11.7265625" customWidth="1"/>
    <col min="13966" max="13966" width="12.453125" bestFit="1" customWidth="1"/>
    <col min="13967" max="13972" width="9.1796875" customWidth="1"/>
    <col min="14003" max="14003" width="26.7265625" customWidth="1"/>
    <col min="14004" max="14008" width="11.7265625" customWidth="1"/>
    <col min="14200" max="14200" width="41.81640625" customWidth="1"/>
    <col min="14201" max="14201" width="10.1796875" bestFit="1" customWidth="1"/>
    <col min="14216" max="14216" width="26.7265625" customWidth="1"/>
    <col min="14217" max="14221" width="11.7265625" customWidth="1"/>
    <col min="14222" max="14222" width="12.453125" bestFit="1" customWidth="1"/>
    <col min="14223" max="14228" width="9.1796875" customWidth="1"/>
    <col min="14259" max="14259" width="26.7265625" customWidth="1"/>
    <col min="14260" max="14264" width="11.7265625" customWidth="1"/>
    <col min="14456" max="14456" width="41.81640625" customWidth="1"/>
    <col min="14457" max="14457" width="10.1796875" bestFit="1" customWidth="1"/>
    <col min="14472" max="14472" width="26.7265625" customWidth="1"/>
    <col min="14473" max="14477" width="11.7265625" customWidth="1"/>
    <col min="14478" max="14478" width="12.453125" bestFit="1" customWidth="1"/>
    <col min="14479" max="14484" width="9.1796875" customWidth="1"/>
    <col min="14515" max="14515" width="26.7265625" customWidth="1"/>
    <col min="14516" max="14520" width="11.7265625" customWidth="1"/>
    <col min="14712" max="14712" width="41.81640625" customWidth="1"/>
    <col min="14713" max="14713" width="10.1796875" bestFit="1" customWidth="1"/>
    <col min="14728" max="14728" width="26.7265625" customWidth="1"/>
    <col min="14729" max="14733" width="11.7265625" customWidth="1"/>
    <col min="14734" max="14734" width="12.453125" bestFit="1" customWidth="1"/>
    <col min="14735" max="14740" width="9.1796875" customWidth="1"/>
    <col min="14771" max="14771" width="26.7265625" customWidth="1"/>
    <col min="14772" max="14776" width="11.7265625" customWidth="1"/>
    <col min="14968" max="14968" width="41.81640625" customWidth="1"/>
    <col min="14969" max="14969" width="10.1796875" bestFit="1" customWidth="1"/>
    <col min="14984" max="14984" width="26.7265625" customWidth="1"/>
    <col min="14985" max="14989" width="11.7265625" customWidth="1"/>
    <col min="14990" max="14990" width="12.453125" bestFit="1" customWidth="1"/>
    <col min="14991" max="14996" width="9.1796875" customWidth="1"/>
    <col min="15027" max="15027" width="26.7265625" customWidth="1"/>
    <col min="15028" max="15032" width="11.7265625" customWidth="1"/>
    <col min="15224" max="15224" width="41.81640625" customWidth="1"/>
    <col min="15225" max="15225" width="10.1796875" bestFit="1" customWidth="1"/>
    <col min="15240" max="15240" width="26.7265625" customWidth="1"/>
    <col min="15241" max="15245" width="11.7265625" customWidth="1"/>
    <col min="15246" max="15246" width="12.453125" bestFit="1" customWidth="1"/>
    <col min="15247" max="15252" width="9.1796875" customWidth="1"/>
    <col min="15283" max="15283" width="26.7265625" customWidth="1"/>
    <col min="15284" max="15288" width="11.7265625" customWidth="1"/>
    <col min="15480" max="15480" width="41.81640625" customWidth="1"/>
    <col min="15481" max="15481" width="10.1796875" bestFit="1" customWidth="1"/>
    <col min="15496" max="15496" width="26.7265625" customWidth="1"/>
    <col min="15497" max="15501" width="11.7265625" customWidth="1"/>
    <col min="15502" max="15502" width="12.453125" bestFit="1" customWidth="1"/>
    <col min="15503" max="15508" width="9.1796875" customWidth="1"/>
    <col min="15539" max="15539" width="26.7265625" customWidth="1"/>
    <col min="15540" max="15544" width="11.7265625" customWidth="1"/>
    <col min="15736" max="15736" width="41.81640625" customWidth="1"/>
    <col min="15737" max="15737" width="10.1796875" bestFit="1" customWidth="1"/>
    <col min="15752" max="15752" width="26.7265625" customWidth="1"/>
    <col min="15753" max="15757" width="11.7265625" customWidth="1"/>
    <col min="15758" max="15758" width="12.453125" bestFit="1" customWidth="1"/>
    <col min="15759" max="15764" width="9.1796875" customWidth="1"/>
    <col min="15795" max="15795" width="26.7265625" customWidth="1"/>
    <col min="15796" max="15800" width="11.7265625" customWidth="1"/>
    <col min="15992" max="15992" width="41.81640625" customWidth="1"/>
    <col min="15993" max="15993" width="10.1796875" bestFit="1" customWidth="1"/>
    <col min="16008" max="16008" width="26.7265625" customWidth="1"/>
    <col min="16009" max="16013" width="11.7265625" customWidth="1"/>
    <col min="16014" max="16014" width="12.453125" bestFit="1" customWidth="1"/>
    <col min="16015" max="16020" width="9.1796875" customWidth="1"/>
    <col min="16051" max="16051" width="26.7265625" customWidth="1"/>
    <col min="16052" max="16056" width="11.7265625" customWidth="1"/>
    <col min="16248" max="16248" width="41.81640625" customWidth="1"/>
    <col min="16249" max="16249" width="10.1796875" bestFit="1" customWidth="1"/>
    <col min="16264" max="16264" width="26.7265625" customWidth="1"/>
    <col min="16265" max="16269" width="11.7265625" customWidth="1"/>
    <col min="16270" max="16270" width="12.453125" bestFit="1" customWidth="1"/>
    <col min="16271" max="16276" width="9.1796875" customWidth="1"/>
  </cols>
  <sheetData>
    <row r="1" spans="1:6" ht="12" customHeight="1"/>
    <row r="2" spans="1:6" ht="12" customHeight="1"/>
    <row r="4" spans="1:6" s="159" customFormat="1" ht="12" customHeight="1">
      <c r="A4" s="158" t="s">
        <v>20</v>
      </c>
    </row>
    <row r="5" spans="1:6" s="159" customFormat="1" ht="12" customHeight="1">
      <c r="A5" s="654" t="s">
        <v>21</v>
      </c>
      <c r="B5" s="654"/>
      <c r="C5" s="654"/>
      <c r="D5" s="654"/>
      <c r="E5" s="654"/>
      <c r="F5" s="654"/>
    </row>
    <row r="6" spans="1:6" s="159" customFormat="1" ht="12" customHeight="1">
      <c r="A6" s="159" t="s">
        <v>3</v>
      </c>
    </row>
    <row r="7" spans="1:6" s="421" customFormat="1" ht="6" customHeight="1">
      <c r="A7" s="426"/>
      <c r="C7" s="419"/>
      <c r="D7" s="419"/>
      <c r="E7" s="419"/>
      <c r="F7" s="419"/>
    </row>
    <row r="8" spans="1:6" s="421" customFormat="1" ht="20.149999999999999" customHeight="1">
      <c r="A8" s="576" t="s">
        <v>302</v>
      </c>
      <c r="B8" s="577">
        <v>2020</v>
      </c>
      <c r="C8" s="420">
        <v>2021</v>
      </c>
      <c r="D8" s="420" t="s">
        <v>303</v>
      </c>
      <c r="E8" s="420" t="s">
        <v>304</v>
      </c>
      <c r="F8" s="420">
        <v>2024</v>
      </c>
    </row>
    <row r="9" spans="1:6" s="421" customFormat="1" ht="3" customHeight="1">
      <c r="A9" s="427"/>
    </row>
    <row r="10" spans="1:6" s="429" customFormat="1" ht="10" customHeight="1">
      <c r="A10" s="428"/>
      <c r="B10" s="657" t="s">
        <v>60</v>
      </c>
      <c r="C10" s="657"/>
      <c r="D10" s="657"/>
      <c r="E10" s="657"/>
      <c r="F10" s="657"/>
    </row>
    <row r="11" spans="1:6" s="421" customFormat="1" ht="3" customHeight="1">
      <c r="A11" s="430"/>
    </row>
    <row r="12" spans="1:6" s="429" customFormat="1" ht="10" customHeight="1">
      <c r="A12" s="431" t="s">
        <v>305</v>
      </c>
      <c r="B12" s="422">
        <v>1100001</v>
      </c>
      <c r="C12" s="422">
        <v>1409811</v>
      </c>
      <c r="D12" s="422">
        <v>1424574</v>
      </c>
      <c r="E12" s="422">
        <v>1399758</v>
      </c>
      <c r="F12" s="422">
        <v>1348181</v>
      </c>
    </row>
    <row r="13" spans="1:6" s="429" customFormat="1" ht="10" customHeight="1">
      <c r="A13" s="431" t="s">
        <v>306</v>
      </c>
      <c r="B13" s="422">
        <v>27966</v>
      </c>
      <c r="C13" s="422">
        <v>36021</v>
      </c>
      <c r="D13" s="422">
        <v>34419</v>
      </c>
      <c r="E13" s="422">
        <v>36572</v>
      </c>
      <c r="F13" s="422">
        <v>40397</v>
      </c>
    </row>
    <row r="14" spans="1:6" s="429" customFormat="1" ht="10" customHeight="1">
      <c r="A14" s="431" t="s">
        <v>307</v>
      </c>
      <c r="B14" s="422">
        <v>188016</v>
      </c>
      <c r="C14" s="422">
        <v>237452</v>
      </c>
      <c r="D14" s="422">
        <v>223783</v>
      </c>
      <c r="E14" s="422">
        <v>214529</v>
      </c>
      <c r="F14" s="422">
        <v>222342</v>
      </c>
    </row>
    <row r="15" spans="1:6" s="429" customFormat="1" ht="10" customHeight="1">
      <c r="A15" s="431" t="s">
        <v>308</v>
      </c>
      <c r="B15" s="422">
        <v>8858</v>
      </c>
      <c r="C15" s="422">
        <v>10492</v>
      </c>
      <c r="D15" s="422">
        <v>10088</v>
      </c>
      <c r="E15" s="422">
        <v>9887</v>
      </c>
      <c r="F15" s="422">
        <v>10172</v>
      </c>
    </row>
    <row r="16" spans="1:6" s="429" customFormat="1" ht="10" customHeight="1">
      <c r="A16" s="431" t="s">
        <v>309</v>
      </c>
      <c r="B16" s="422">
        <v>16829</v>
      </c>
      <c r="C16" s="422">
        <v>21779</v>
      </c>
      <c r="D16" s="422">
        <v>20176</v>
      </c>
      <c r="E16" s="422">
        <v>20349</v>
      </c>
      <c r="F16" s="422">
        <v>20658</v>
      </c>
    </row>
    <row r="17" spans="1:8" s="429" customFormat="1" ht="10" customHeight="1">
      <c r="A17" s="431" t="s">
        <v>310</v>
      </c>
      <c r="B17" s="422">
        <v>552303</v>
      </c>
      <c r="C17" s="422">
        <v>671826</v>
      </c>
      <c r="D17" s="422">
        <v>653346</v>
      </c>
      <c r="E17" s="422">
        <v>627881</v>
      </c>
      <c r="F17" s="422">
        <v>644159</v>
      </c>
    </row>
    <row r="18" spans="1:8" s="429" customFormat="1" ht="10" customHeight="1">
      <c r="A18" s="431" t="s">
        <v>311</v>
      </c>
      <c r="B18" s="422">
        <v>588133</v>
      </c>
      <c r="C18" s="422">
        <v>673162</v>
      </c>
      <c r="D18" s="422">
        <v>581810</v>
      </c>
      <c r="E18" s="422">
        <v>454578</v>
      </c>
      <c r="F18" s="422">
        <v>478515</v>
      </c>
    </row>
    <row r="19" spans="1:8" s="429" customFormat="1" ht="10" customHeight="1">
      <c r="A19" s="431" t="s">
        <v>312</v>
      </c>
      <c r="B19" s="422">
        <v>185296</v>
      </c>
      <c r="C19" s="422">
        <v>200746</v>
      </c>
      <c r="D19" s="422">
        <v>172120</v>
      </c>
      <c r="E19" s="422">
        <v>160183</v>
      </c>
      <c r="F19" s="422">
        <v>173696</v>
      </c>
    </row>
    <row r="20" spans="1:8" s="429" customFormat="1" ht="10" customHeight="1">
      <c r="A20" s="431" t="s">
        <v>313</v>
      </c>
      <c r="B20" s="422">
        <v>291379</v>
      </c>
      <c r="C20" s="422">
        <v>321865</v>
      </c>
      <c r="D20" s="422">
        <v>309063</v>
      </c>
      <c r="E20" s="422">
        <v>321420</v>
      </c>
      <c r="F20" s="422">
        <v>328976</v>
      </c>
    </row>
    <row r="21" spans="1:8" s="429" customFormat="1" ht="10" customHeight="1">
      <c r="A21" s="431" t="s">
        <v>314</v>
      </c>
      <c r="B21" s="422">
        <v>27946</v>
      </c>
      <c r="C21" s="422">
        <v>31945</v>
      </c>
      <c r="D21" s="422">
        <v>29338</v>
      </c>
      <c r="E21" s="422">
        <v>27745</v>
      </c>
      <c r="F21" s="422">
        <v>28571</v>
      </c>
    </row>
    <row r="22" spans="1:8" s="429" customFormat="1" ht="10" customHeight="1">
      <c r="A22" s="431" t="s">
        <v>315</v>
      </c>
      <c r="B22" s="422">
        <v>57521</v>
      </c>
      <c r="C22" s="422">
        <v>75614</v>
      </c>
      <c r="D22" s="422">
        <v>66750</v>
      </c>
      <c r="E22" s="422">
        <v>60140</v>
      </c>
      <c r="F22" s="422">
        <v>56478</v>
      </c>
    </row>
    <row r="23" spans="1:8" s="429" customFormat="1" ht="10" customHeight="1">
      <c r="A23" s="431" t="s">
        <v>316</v>
      </c>
      <c r="B23" s="422">
        <v>181607</v>
      </c>
      <c r="C23" s="422">
        <v>209220</v>
      </c>
      <c r="D23" s="422">
        <v>200694</v>
      </c>
      <c r="E23" s="422">
        <v>197668</v>
      </c>
      <c r="F23" s="422">
        <v>201648</v>
      </c>
    </row>
    <row r="24" spans="1:8" s="429" customFormat="1" ht="10" customHeight="1">
      <c r="A24" s="431" t="s">
        <v>317</v>
      </c>
      <c r="B24" s="422">
        <v>18234</v>
      </c>
      <c r="C24" s="422">
        <v>23432</v>
      </c>
      <c r="D24" s="422">
        <v>23207</v>
      </c>
      <c r="E24" s="422">
        <v>24197</v>
      </c>
      <c r="F24" s="422">
        <v>23571</v>
      </c>
    </row>
    <row r="25" spans="1:8" s="429" customFormat="1" ht="10" customHeight="1">
      <c r="A25" s="428" t="s">
        <v>58</v>
      </c>
      <c r="B25" s="423">
        <v>3244089</v>
      </c>
      <c r="C25" s="423">
        <v>3923365</v>
      </c>
      <c r="D25" s="423">
        <v>3749368</v>
      </c>
      <c r="E25" s="423">
        <v>3554907</v>
      </c>
      <c r="F25" s="423">
        <v>3577364</v>
      </c>
    </row>
    <row r="26" spans="1:8" s="421" customFormat="1" ht="3" customHeight="1">
      <c r="A26" s="430"/>
    </row>
    <row r="27" spans="1:8" s="429" customFormat="1" ht="10" customHeight="1">
      <c r="A27" s="428"/>
      <c r="B27" s="657" t="s">
        <v>318</v>
      </c>
      <c r="C27" s="657"/>
      <c r="D27" s="657"/>
      <c r="E27" s="657"/>
      <c r="F27" s="657"/>
    </row>
    <row r="28" spans="1:8" s="421" customFormat="1" ht="3" customHeight="1">
      <c r="A28" s="430"/>
    </row>
    <row r="29" spans="1:8" s="429" customFormat="1" ht="10" customHeight="1">
      <c r="A29" s="431" t="s">
        <v>305</v>
      </c>
      <c r="B29" s="424">
        <v>33.907855179065677</v>
      </c>
      <c r="C29" s="424">
        <v>35.933720161137188</v>
      </c>
      <c r="D29" s="424">
        <v>37.995043431319623</v>
      </c>
      <c r="E29" s="424">
        <v>39.3753760646903</v>
      </c>
      <c r="F29" s="424">
        <v>37.686436158020264</v>
      </c>
      <c r="H29" s="472"/>
    </row>
    <row r="30" spans="1:8" s="429" customFormat="1" ht="10" customHeight="1">
      <c r="A30" s="431" t="s">
        <v>306</v>
      </c>
      <c r="B30" s="424">
        <v>0.86206019625232233</v>
      </c>
      <c r="C30" s="424">
        <v>0.91811493450137827</v>
      </c>
      <c r="D30" s="424">
        <v>0.91799471270891519</v>
      </c>
      <c r="E30" s="424">
        <v>1.0287751550181201</v>
      </c>
      <c r="F30" s="424">
        <v>1.129239294631466</v>
      </c>
      <c r="H30" s="472"/>
    </row>
    <row r="31" spans="1:8" s="429" customFormat="1" ht="10" customHeight="1">
      <c r="A31" s="431" t="s">
        <v>307</v>
      </c>
      <c r="B31" s="424">
        <v>5.7956486397259752</v>
      </c>
      <c r="C31" s="424">
        <v>6.0522536139258012</v>
      </c>
      <c r="D31" s="424">
        <v>5.9685525667259123</v>
      </c>
      <c r="E31" s="424">
        <v>6.0347288972679172</v>
      </c>
      <c r="F31" s="424">
        <v>6.2152467571094245</v>
      </c>
      <c r="H31" s="472"/>
    </row>
    <row r="32" spans="1:8" s="429" customFormat="1" ht="10" customHeight="1">
      <c r="A32" s="431" t="s">
        <v>308</v>
      </c>
      <c r="B32" s="424">
        <v>0.27305046193245625</v>
      </c>
      <c r="C32" s="424">
        <v>0.26742349998024656</v>
      </c>
      <c r="D32" s="424">
        <v>0.2690586786893151</v>
      </c>
      <c r="E32" s="424">
        <v>0.27812260630165569</v>
      </c>
      <c r="F32" s="424">
        <v>0.28434344394364119</v>
      </c>
      <c r="H32" s="472"/>
    </row>
    <row r="33" spans="1:10" s="429" customFormat="1" ht="10" customHeight="1">
      <c r="A33" s="431" t="s">
        <v>309</v>
      </c>
      <c r="B33" s="424">
        <v>0.51875888731782638</v>
      </c>
      <c r="C33" s="424">
        <v>0.55511021788694148</v>
      </c>
      <c r="D33" s="424">
        <v>0.5381173573786302</v>
      </c>
      <c r="E33" s="424">
        <v>0.57242003799255503</v>
      </c>
      <c r="F33" s="424">
        <v>0.5774643005296638</v>
      </c>
      <c r="H33" s="472"/>
    </row>
    <row r="34" spans="1:10" s="429" customFormat="1" ht="10" customHeight="1">
      <c r="A34" s="431" t="s">
        <v>310</v>
      </c>
      <c r="B34" s="424">
        <v>17.024902830964255</v>
      </c>
      <c r="C34" s="424">
        <v>17.123719052395074</v>
      </c>
      <c r="D34" s="424">
        <v>17.425496777056825</v>
      </c>
      <c r="E34" s="424">
        <v>17.662374852562952</v>
      </c>
      <c r="F34" s="424">
        <v>18.006526593324025</v>
      </c>
      <c r="H34" s="472"/>
    </row>
    <row r="35" spans="1:10" s="429" customFormat="1" ht="10" customHeight="1">
      <c r="A35" s="431" t="s">
        <v>311</v>
      </c>
      <c r="B35" s="424">
        <v>18.129373146051172</v>
      </c>
      <c r="C35" s="424">
        <v>17.157771453841281</v>
      </c>
      <c r="D35" s="424">
        <v>15.517548557516895</v>
      </c>
      <c r="E35" s="424">
        <v>12.787338740507135</v>
      </c>
      <c r="F35" s="424">
        <v>13.376189842576824</v>
      </c>
      <c r="H35" s="472"/>
    </row>
    <row r="36" spans="1:10" s="429" customFormat="1" ht="10" customHeight="1">
      <c r="A36" s="431" t="s">
        <v>312</v>
      </c>
      <c r="B36" s="424">
        <v>5.7118038376875599</v>
      </c>
      <c r="C36" s="424">
        <v>5.1166791771859108</v>
      </c>
      <c r="D36" s="424">
        <v>4.5906403425857372</v>
      </c>
      <c r="E36" s="424">
        <v>4.5059687918699423</v>
      </c>
      <c r="F36" s="424">
        <v>4.8554186825830419</v>
      </c>
      <c r="H36" s="472"/>
    </row>
    <row r="37" spans="1:10" s="429" customFormat="1" ht="10" customHeight="1">
      <c r="A37" s="431" t="s">
        <v>313</v>
      </c>
      <c r="B37" s="424">
        <v>8.9818435930703497</v>
      </c>
      <c r="C37" s="424">
        <v>8.2037995445236422</v>
      </c>
      <c r="D37" s="424">
        <v>8.2430692319345553</v>
      </c>
      <c r="E37" s="424">
        <v>9.0415867419316456</v>
      </c>
      <c r="F37" s="424">
        <v>9.19604490904476</v>
      </c>
      <c r="H37" s="472"/>
    </row>
    <row r="38" spans="1:10" s="429" customFormat="1" ht="10" customHeight="1">
      <c r="A38" s="431" t="s">
        <v>314</v>
      </c>
      <c r="B38" s="424">
        <v>0.86144369035498114</v>
      </c>
      <c r="C38" s="424">
        <v>0.81422452410112245</v>
      </c>
      <c r="D38" s="424">
        <v>0.7824785403833393</v>
      </c>
      <c r="E38" s="424">
        <v>0.78047048769489613</v>
      </c>
      <c r="F38" s="424">
        <v>0.79866068982636373</v>
      </c>
      <c r="H38" s="472"/>
    </row>
    <row r="39" spans="1:10" s="429" customFormat="1" ht="10" customHeight="1">
      <c r="A39" s="431" t="s">
        <v>315</v>
      </c>
      <c r="B39" s="424">
        <v>1.77310178604841</v>
      </c>
      <c r="C39" s="424">
        <v>1.9272741638873774</v>
      </c>
      <c r="D39" s="424">
        <v>1.7803000399000579</v>
      </c>
      <c r="E39" s="424">
        <v>1.6917460850593278</v>
      </c>
      <c r="F39" s="424">
        <v>1.5787602268038701</v>
      </c>
      <c r="H39" s="472"/>
    </row>
    <row r="40" spans="1:10" s="429" customFormat="1" ht="10" customHeight="1">
      <c r="A40" s="431" t="s">
        <v>316</v>
      </c>
      <c r="B40" s="424">
        <v>5.5980893249229595</v>
      </c>
      <c r="C40" s="424">
        <v>5.3326672384547447</v>
      </c>
      <c r="D40" s="424">
        <v>5.3527421154711945</v>
      </c>
      <c r="E40" s="424">
        <v>5.5604267565930696</v>
      </c>
      <c r="F40" s="424">
        <v>5.6367761290156668</v>
      </c>
      <c r="H40" s="472"/>
    </row>
    <row r="41" spans="1:10" s="429" customFormat="1" ht="10" customHeight="1">
      <c r="A41" s="431" t="s">
        <v>317</v>
      </c>
      <c r="B41" s="424">
        <v>0.56206842660605183</v>
      </c>
      <c r="C41" s="424">
        <v>0.59724241817929247</v>
      </c>
      <c r="D41" s="424">
        <v>0.61895764832899836</v>
      </c>
      <c r="E41" s="424">
        <v>0.68066478251048479</v>
      </c>
      <c r="F41" s="424">
        <v>0.65889297259099155</v>
      </c>
      <c r="H41" s="472"/>
    </row>
    <row r="42" spans="1:10" s="429" customFormat="1" ht="10" customHeight="1">
      <c r="A42" s="428" t="s">
        <v>58</v>
      </c>
      <c r="B42" s="432">
        <v>100</v>
      </c>
      <c r="C42" s="425">
        <v>100</v>
      </c>
      <c r="D42" s="425">
        <v>100</v>
      </c>
      <c r="E42" s="425">
        <v>100</v>
      </c>
      <c r="F42" s="425">
        <v>100</v>
      </c>
      <c r="H42" s="472"/>
    </row>
    <row r="43" spans="1:10" s="421" customFormat="1" ht="3" customHeight="1">
      <c r="A43" s="433"/>
    </row>
    <row r="44" spans="1:10" s="429" customFormat="1" ht="10" customHeight="1">
      <c r="A44" s="428"/>
      <c r="B44" s="657" t="s">
        <v>319</v>
      </c>
      <c r="C44" s="657"/>
      <c r="D44" s="657"/>
      <c r="E44" s="657"/>
      <c r="F44" s="657"/>
    </row>
    <row r="45" spans="1:10" s="421" customFormat="1" ht="3" customHeight="1">
      <c r="A45" s="430"/>
    </row>
    <row r="46" spans="1:10" s="429" customFormat="1" ht="10" customHeight="1">
      <c r="A46" s="431" t="s">
        <v>305</v>
      </c>
      <c r="B46" s="424">
        <v>-22.709425647237708</v>
      </c>
      <c r="C46" s="424">
        <v>28.164519850436498</v>
      </c>
      <c r="D46" s="424">
        <v>1.0471616408156839</v>
      </c>
      <c r="E46" s="424">
        <v>-1.7419944488668193</v>
      </c>
      <c r="F46" s="424">
        <v>-3.6847083567302348</v>
      </c>
      <c r="H46" s="424"/>
      <c r="J46" s="472"/>
    </row>
    <row r="47" spans="1:10" s="429" customFormat="1" ht="10" customHeight="1">
      <c r="A47" s="431" t="s">
        <v>306</v>
      </c>
      <c r="B47" s="424">
        <v>-19.524617996604416</v>
      </c>
      <c r="C47" s="424">
        <v>28.802832010298218</v>
      </c>
      <c r="D47" s="424">
        <v>-4.4474056800199886</v>
      </c>
      <c r="E47" s="424">
        <v>0.15113290008100666</v>
      </c>
      <c r="F47" s="424">
        <v>10.458820955922564</v>
      </c>
      <c r="H47" s="424"/>
      <c r="J47" s="472"/>
    </row>
    <row r="48" spans="1:10" s="429" customFormat="1" ht="10" customHeight="1">
      <c r="A48" s="431" t="s">
        <v>307</v>
      </c>
      <c r="B48" s="424">
        <v>-14.540900971332729</v>
      </c>
      <c r="C48" s="424">
        <v>26.293506935579952</v>
      </c>
      <c r="D48" s="424">
        <v>-5.7565318464363324</v>
      </c>
      <c r="E48" s="424">
        <v>-0.64959770429616148</v>
      </c>
      <c r="F48" s="424">
        <v>3.6419318600282482</v>
      </c>
      <c r="H48" s="424"/>
      <c r="J48" s="472"/>
    </row>
    <row r="49" spans="1:10" s="429" customFormat="1" ht="10" customHeight="1">
      <c r="A49" s="431" t="s">
        <v>308</v>
      </c>
      <c r="B49" s="424">
        <v>-17.369402985074629</v>
      </c>
      <c r="C49" s="424">
        <v>18.446601941747574</v>
      </c>
      <c r="D49" s="424">
        <v>-3.8505528021349598</v>
      </c>
      <c r="E49" s="424">
        <v>-1.4109481150154361E-2</v>
      </c>
      <c r="F49" s="424">
        <v>2.882573075756043</v>
      </c>
      <c r="H49" s="424"/>
      <c r="J49" s="472"/>
    </row>
    <row r="50" spans="1:10" s="429" customFormat="1" ht="10" customHeight="1">
      <c r="A50" s="431" t="s">
        <v>309</v>
      </c>
      <c r="B50" s="424">
        <v>-13.270459699031129</v>
      </c>
      <c r="C50" s="424">
        <v>29.413512389327945</v>
      </c>
      <c r="D50" s="424">
        <v>-7.3603012075852892</v>
      </c>
      <c r="E50" s="424">
        <v>1.2143981288441318E-2</v>
      </c>
      <c r="F50" s="424">
        <v>1.5185021376971841</v>
      </c>
      <c r="H50" s="424"/>
      <c r="J50" s="472"/>
    </row>
    <row r="51" spans="1:10" s="429" customFormat="1" ht="10" customHeight="1">
      <c r="A51" s="431" t="s">
        <v>310</v>
      </c>
      <c r="B51" s="424">
        <v>-7.3422830952173239</v>
      </c>
      <c r="C51" s="424">
        <v>21.640838452805795</v>
      </c>
      <c r="D51" s="424">
        <v>-2.7507122379901938</v>
      </c>
      <c r="E51" s="424">
        <v>-1.7875519278043823</v>
      </c>
      <c r="F51" s="424">
        <v>2.5925294761268458</v>
      </c>
      <c r="H51" s="424"/>
      <c r="J51" s="472"/>
    </row>
    <row r="52" spans="1:10" s="429" customFormat="1" ht="10" customHeight="1">
      <c r="A52" s="431" t="s">
        <v>311</v>
      </c>
      <c r="B52" s="424">
        <v>-5.4343649054316314</v>
      </c>
      <c r="C52" s="424">
        <v>14.457444149537604</v>
      </c>
      <c r="D52" s="424">
        <v>-13.570581821314928</v>
      </c>
      <c r="E52" s="424">
        <v>-8.9312313716240777</v>
      </c>
      <c r="F52" s="424">
        <v>5.2657629713712497</v>
      </c>
      <c r="H52" s="424"/>
      <c r="J52" s="472"/>
    </row>
    <row r="53" spans="1:10" s="429" customFormat="1" ht="10" customHeight="1">
      <c r="A53" s="431" t="s">
        <v>312</v>
      </c>
      <c r="B53" s="424">
        <v>3.9219755135920318</v>
      </c>
      <c r="C53" s="424">
        <v>8.3380105344961564</v>
      </c>
      <c r="D53" s="424">
        <v>-14.259810905323144</v>
      </c>
      <c r="E53" s="424">
        <v>-0.83793470890245092</v>
      </c>
      <c r="F53" s="424">
        <v>8.4359763520473461</v>
      </c>
      <c r="H53" s="424"/>
      <c r="J53" s="472"/>
    </row>
    <row r="54" spans="1:10" s="429" customFormat="1" ht="10" customHeight="1">
      <c r="A54" s="431" t="s">
        <v>313</v>
      </c>
      <c r="B54" s="424">
        <v>-16.606373174738554</v>
      </c>
      <c r="C54" s="424">
        <v>10.462662031237667</v>
      </c>
      <c r="D54" s="424">
        <v>-3.9774439594239821</v>
      </c>
      <c r="E54" s="424">
        <v>0.86741720682814649</v>
      </c>
      <c r="F54" s="424">
        <v>2.3508182440420633</v>
      </c>
      <c r="H54" s="424"/>
      <c r="J54" s="472"/>
    </row>
    <row r="55" spans="1:10" s="429" customFormat="1" ht="10" customHeight="1">
      <c r="A55" s="431" t="s">
        <v>314</v>
      </c>
      <c r="B55" s="424">
        <v>-17.017549069097605</v>
      </c>
      <c r="C55" s="424">
        <v>14.309740213268446</v>
      </c>
      <c r="D55" s="424">
        <v>-8.1609015495382682</v>
      </c>
      <c r="E55" s="424">
        <v>-0.11182290284674576</v>
      </c>
      <c r="F55" s="424">
        <v>2.9771129933321321</v>
      </c>
      <c r="H55" s="424"/>
      <c r="J55" s="472"/>
    </row>
    <row r="56" spans="1:10" s="429" customFormat="1" ht="10" customHeight="1">
      <c r="A56" s="431" t="s">
        <v>315</v>
      </c>
      <c r="B56" s="424">
        <v>5.1187865497076022</v>
      </c>
      <c r="C56" s="424">
        <v>31.454599189861092</v>
      </c>
      <c r="D56" s="424">
        <v>-11.722696855079748</v>
      </c>
      <c r="E56" s="424">
        <v>-0.46399836021154395</v>
      </c>
      <c r="F56" s="424">
        <v>-6.089125374127037</v>
      </c>
      <c r="H56" s="424"/>
      <c r="J56" s="472"/>
    </row>
    <row r="57" spans="1:10" s="429" customFormat="1" ht="10" customHeight="1">
      <c r="A57" s="431" t="s">
        <v>316</v>
      </c>
      <c r="B57" s="424">
        <v>3.603151331214951</v>
      </c>
      <c r="C57" s="424">
        <v>15.204810387264809</v>
      </c>
      <c r="D57" s="424">
        <v>-4.0751362202466304</v>
      </c>
      <c r="E57" s="424">
        <v>-0.21241437791227413</v>
      </c>
      <c r="F57" s="424">
        <v>2.0134771434931298</v>
      </c>
      <c r="H57" s="424"/>
      <c r="J57" s="472"/>
    </row>
    <row r="58" spans="1:10" s="429" customFormat="1" ht="10" customHeight="1">
      <c r="A58" s="431" t="s">
        <v>317</v>
      </c>
      <c r="B58" s="424">
        <v>-17.159602017173231</v>
      </c>
      <c r="C58" s="424">
        <v>28.507184380827027</v>
      </c>
      <c r="D58" s="424">
        <v>-0.96022533287811529</v>
      </c>
      <c r="E58" s="424">
        <v>6.9494459396282682E-2</v>
      </c>
      <c r="F58" s="424">
        <v>-2.5870975740794311</v>
      </c>
      <c r="H58" s="424"/>
      <c r="J58" s="472"/>
    </row>
    <row r="59" spans="1:10" s="429" customFormat="1" ht="10" customHeight="1">
      <c r="A59" s="428" t="s">
        <v>58</v>
      </c>
      <c r="B59" s="425">
        <v>-13.247752967185072</v>
      </c>
      <c r="C59" s="425">
        <v>20.938882996120022</v>
      </c>
      <c r="D59" s="425">
        <v>-4.4348919868531222</v>
      </c>
      <c r="E59" s="425">
        <v>-13.650466736020734</v>
      </c>
      <c r="F59" s="425">
        <v>0.63171835437607793</v>
      </c>
      <c r="H59" s="425"/>
      <c r="J59" s="472"/>
    </row>
    <row r="60" spans="1:10" s="421" customFormat="1" ht="3" customHeight="1">
      <c r="A60" s="434"/>
      <c r="B60" s="419"/>
      <c r="C60" s="419"/>
      <c r="D60" s="419"/>
      <c r="E60" s="419"/>
      <c r="F60" s="419"/>
    </row>
    <row r="61" spans="1:10" s="421" customFormat="1" ht="3" customHeight="1">
      <c r="A61" s="430"/>
    </row>
    <row r="62" spans="1:10" s="49" customFormat="1" ht="10" customHeight="1">
      <c r="A62" s="435" t="s">
        <v>320</v>
      </c>
    </row>
    <row r="63" spans="1:10" ht="22.5" customHeight="1">
      <c r="A63" s="644" t="s">
        <v>321</v>
      </c>
      <c r="B63" s="644"/>
      <c r="C63" s="644"/>
      <c r="D63" s="644"/>
      <c r="E63" s="644"/>
      <c r="F63" s="644"/>
    </row>
    <row r="64" spans="1:10">
      <c r="A64" s="147"/>
    </row>
    <row r="65" spans="1:1">
      <c r="A65" s="500"/>
    </row>
    <row r="66" spans="1:1">
      <c r="A66" s="147"/>
    </row>
    <row r="67" spans="1:1">
      <c r="A67" s="147"/>
    </row>
    <row r="68" spans="1:1">
      <c r="A68" s="147"/>
    </row>
    <row r="69" spans="1:1">
      <c r="A69" s="147"/>
    </row>
    <row r="70" spans="1:1">
      <c r="A70" s="147"/>
    </row>
    <row r="71" spans="1:1">
      <c r="A71" s="147"/>
    </row>
    <row r="72" spans="1:1">
      <c r="A72" s="147"/>
    </row>
    <row r="73" spans="1:1">
      <c r="A73" s="147"/>
    </row>
    <row r="74" spans="1:1">
      <c r="A74" s="147"/>
    </row>
    <row r="75" spans="1:1">
      <c r="A75" s="147"/>
    </row>
    <row r="76" spans="1:1">
      <c r="A76" s="147"/>
    </row>
    <row r="77" spans="1:1">
      <c r="A77" s="147"/>
    </row>
    <row r="78" spans="1:1">
      <c r="A78" s="147"/>
    </row>
    <row r="79" spans="1:1">
      <c r="A79" s="147"/>
    </row>
    <row r="80" spans="1:1">
      <c r="A80" s="147"/>
    </row>
    <row r="81" spans="1:1">
      <c r="A81" s="147"/>
    </row>
    <row r="82" spans="1:1">
      <c r="A82" s="147"/>
    </row>
    <row r="83" spans="1:1">
      <c r="A83" s="147"/>
    </row>
    <row r="84" spans="1:1">
      <c r="A84" s="147"/>
    </row>
    <row r="85" spans="1:1">
      <c r="A85" s="147"/>
    </row>
    <row r="86" spans="1:1">
      <c r="A86" s="147"/>
    </row>
    <row r="87" spans="1:1">
      <c r="A87" s="147"/>
    </row>
    <row r="88" spans="1:1">
      <c r="A88" s="147"/>
    </row>
    <row r="89" spans="1:1">
      <c r="A89" s="147"/>
    </row>
    <row r="90" spans="1:1">
      <c r="A90" s="147"/>
    </row>
    <row r="91" spans="1:1">
      <c r="A91" s="147"/>
    </row>
    <row r="92" spans="1:1">
      <c r="A92" s="147"/>
    </row>
    <row r="93" spans="1:1">
      <c r="A93" s="147"/>
    </row>
    <row r="94" spans="1:1">
      <c r="A94" s="147"/>
    </row>
    <row r="95" spans="1:1">
      <c r="A95" s="147"/>
    </row>
    <row r="96" spans="1:1">
      <c r="A96" s="147"/>
    </row>
    <row r="97" spans="1:1">
      <c r="A97" s="147"/>
    </row>
    <row r="98" spans="1:1">
      <c r="A98" s="147"/>
    </row>
    <row r="99" spans="1:1">
      <c r="A99" s="147"/>
    </row>
    <row r="100" spans="1:1">
      <c r="A100" s="147"/>
    </row>
    <row r="101" spans="1:1">
      <c r="A101" s="147"/>
    </row>
    <row r="102" spans="1:1">
      <c r="A102" s="147"/>
    </row>
    <row r="103" spans="1:1">
      <c r="A103" s="147"/>
    </row>
    <row r="104" spans="1:1">
      <c r="A104" s="147"/>
    </row>
    <row r="105" spans="1:1">
      <c r="A105" s="147"/>
    </row>
    <row r="106" spans="1:1">
      <c r="A106" s="147"/>
    </row>
    <row r="107" spans="1:1">
      <c r="A107" s="147"/>
    </row>
    <row r="108" spans="1:1">
      <c r="A108" s="147"/>
    </row>
    <row r="109" spans="1:1">
      <c r="A109" s="147"/>
    </row>
    <row r="110" spans="1:1">
      <c r="A110" s="147"/>
    </row>
    <row r="111" spans="1:1">
      <c r="A111" s="147"/>
    </row>
    <row r="112" spans="1:1">
      <c r="A112" s="147"/>
    </row>
    <row r="113" spans="1:1">
      <c r="A113" s="147"/>
    </row>
    <row r="114" spans="1:1">
      <c r="A114" s="147"/>
    </row>
    <row r="115" spans="1:1">
      <c r="A115" s="147"/>
    </row>
    <row r="116" spans="1:1">
      <c r="A116" s="147"/>
    </row>
    <row r="117" spans="1:1">
      <c r="A117" s="147"/>
    </row>
    <row r="118" spans="1:1">
      <c r="A118" s="147"/>
    </row>
    <row r="119" spans="1:1">
      <c r="A119" s="147"/>
    </row>
    <row r="120" spans="1:1">
      <c r="A120" s="147"/>
    </row>
    <row r="121" spans="1:1">
      <c r="A121" s="147"/>
    </row>
    <row r="122" spans="1:1">
      <c r="A122" s="147"/>
    </row>
    <row r="123" spans="1:1">
      <c r="A123" s="147"/>
    </row>
    <row r="124" spans="1:1">
      <c r="A124" s="147"/>
    </row>
    <row r="125" spans="1:1">
      <c r="A125" s="147"/>
    </row>
    <row r="126" spans="1:1">
      <c r="A126" s="147"/>
    </row>
    <row r="127" spans="1:1">
      <c r="A127" s="147"/>
    </row>
    <row r="128" spans="1:1">
      <c r="A128" s="147"/>
    </row>
    <row r="129" spans="1:1">
      <c r="A129" s="147"/>
    </row>
    <row r="130" spans="1:1">
      <c r="A130" s="147"/>
    </row>
    <row r="131" spans="1:1">
      <c r="A131" s="147"/>
    </row>
    <row r="132" spans="1:1">
      <c r="A132" s="147"/>
    </row>
    <row r="133" spans="1:1">
      <c r="A133" s="147"/>
    </row>
    <row r="134" spans="1:1">
      <c r="A134" s="147"/>
    </row>
    <row r="135" spans="1:1">
      <c r="A135" s="147"/>
    </row>
    <row r="136" spans="1:1">
      <c r="A136" s="147"/>
    </row>
    <row r="137" spans="1:1">
      <c r="A137" s="147"/>
    </row>
    <row r="138" spans="1:1">
      <c r="A138" s="147"/>
    </row>
    <row r="139" spans="1:1">
      <c r="A139" s="147"/>
    </row>
    <row r="140" spans="1:1">
      <c r="A140" s="147"/>
    </row>
    <row r="141" spans="1:1">
      <c r="A141" s="147"/>
    </row>
    <row r="142" spans="1:1">
      <c r="A142" s="147"/>
    </row>
    <row r="143" spans="1:1">
      <c r="A143" s="147"/>
    </row>
    <row r="144" spans="1:1">
      <c r="A144" s="147"/>
    </row>
    <row r="145" spans="1:1">
      <c r="A145" s="147"/>
    </row>
    <row r="146" spans="1:1">
      <c r="A146" s="147"/>
    </row>
    <row r="147" spans="1:1">
      <c r="A147" s="147"/>
    </row>
    <row r="148" spans="1:1">
      <c r="A148" s="147"/>
    </row>
    <row r="149" spans="1:1">
      <c r="A149" s="147"/>
    </row>
    <row r="150" spans="1:1">
      <c r="A150" s="147"/>
    </row>
    <row r="151" spans="1:1">
      <c r="A151" s="147"/>
    </row>
    <row r="152" spans="1:1">
      <c r="A152" s="147"/>
    </row>
    <row r="153" spans="1:1">
      <c r="A153" s="147"/>
    </row>
    <row r="154" spans="1:1">
      <c r="A154" s="147"/>
    </row>
    <row r="155" spans="1:1">
      <c r="A155" s="147"/>
    </row>
    <row r="156" spans="1:1">
      <c r="A156" s="147"/>
    </row>
    <row r="157" spans="1:1">
      <c r="A157" s="147"/>
    </row>
    <row r="158" spans="1:1">
      <c r="A158" s="147"/>
    </row>
    <row r="159" spans="1:1">
      <c r="A159" s="147"/>
    </row>
    <row r="160" spans="1:1">
      <c r="A160" s="147"/>
    </row>
    <row r="161" spans="1:1">
      <c r="A161" s="147"/>
    </row>
    <row r="162" spans="1:1">
      <c r="A162" s="147"/>
    </row>
    <row r="163" spans="1:1">
      <c r="A163" s="147"/>
    </row>
    <row r="164" spans="1:1">
      <c r="A164" s="147"/>
    </row>
    <row r="165" spans="1:1">
      <c r="A165" s="147"/>
    </row>
    <row r="166" spans="1:1">
      <c r="A166" s="147"/>
    </row>
    <row r="167" spans="1:1">
      <c r="A167" s="147"/>
    </row>
    <row r="168" spans="1:1">
      <c r="A168" s="147"/>
    </row>
    <row r="169" spans="1:1">
      <c r="A169" s="147"/>
    </row>
    <row r="170" spans="1:1">
      <c r="A170" s="147"/>
    </row>
    <row r="171" spans="1:1">
      <c r="A171" s="147"/>
    </row>
    <row r="172" spans="1:1">
      <c r="A172" s="147"/>
    </row>
    <row r="173" spans="1:1">
      <c r="A173" s="147"/>
    </row>
    <row r="174" spans="1:1">
      <c r="A174" s="147"/>
    </row>
    <row r="175" spans="1:1">
      <c r="A175" s="147"/>
    </row>
    <row r="176" spans="1:1">
      <c r="A176" s="147"/>
    </row>
    <row r="177" spans="1:1">
      <c r="A177" s="147"/>
    </row>
    <row r="178" spans="1:1">
      <c r="A178" s="147"/>
    </row>
    <row r="179" spans="1:1">
      <c r="A179" s="147"/>
    </row>
    <row r="180" spans="1:1">
      <c r="A180" s="147"/>
    </row>
    <row r="181" spans="1:1">
      <c r="A181" s="147"/>
    </row>
    <row r="182" spans="1:1">
      <c r="A182" s="147"/>
    </row>
    <row r="183" spans="1:1">
      <c r="A183" s="147"/>
    </row>
    <row r="184" spans="1:1">
      <c r="A184" s="147"/>
    </row>
    <row r="185" spans="1:1">
      <c r="A185" s="147"/>
    </row>
    <row r="186" spans="1:1">
      <c r="A186" s="147"/>
    </row>
    <row r="187" spans="1:1">
      <c r="A187" s="147"/>
    </row>
    <row r="188" spans="1:1">
      <c r="A188" s="147"/>
    </row>
    <row r="189" spans="1:1">
      <c r="A189" s="147"/>
    </row>
    <row r="190" spans="1:1">
      <c r="A190" s="147"/>
    </row>
    <row r="191" spans="1:1">
      <c r="A191" s="147"/>
    </row>
    <row r="192" spans="1:1">
      <c r="A192" s="147"/>
    </row>
    <row r="193" spans="1:1">
      <c r="A193" s="147"/>
    </row>
    <row r="194" spans="1:1">
      <c r="A194" s="147"/>
    </row>
    <row r="195" spans="1:1">
      <c r="A195" s="147"/>
    </row>
    <row r="196" spans="1:1">
      <c r="A196" s="147"/>
    </row>
    <row r="197" spans="1:1">
      <c r="A197" s="147"/>
    </row>
    <row r="198" spans="1:1">
      <c r="A198" s="147"/>
    </row>
    <row r="199" spans="1:1">
      <c r="A199" s="147"/>
    </row>
    <row r="200" spans="1:1">
      <c r="A200" s="147"/>
    </row>
    <row r="201" spans="1:1">
      <c r="A201" s="147"/>
    </row>
    <row r="202" spans="1:1">
      <c r="A202" s="147"/>
    </row>
    <row r="203" spans="1:1">
      <c r="A203" s="147"/>
    </row>
    <row r="204" spans="1:1">
      <c r="A204" s="147"/>
    </row>
    <row r="205" spans="1:1">
      <c r="A205" s="147"/>
    </row>
    <row r="206" spans="1:1">
      <c r="A206" s="147"/>
    </row>
    <row r="207" spans="1:1">
      <c r="A207" s="147"/>
    </row>
    <row r="208" spans="1:1">
      <c r="A208" s="147"/>
    </row>
    <row r="209" spans="1:1">
      <c r="A209" s="147"/>
    </row>
    <row r="210" spans="1:1">
      <c r="A210" s="147"/>
    </row>
    <row r="211" spans="1:1">
      <c r="A211" s="147"/>
    </row>
    <row r="212" spans="1:1">
      <c r="A212" s="147"/>
    </row>
    <row r="213" spans="1:1">
      <c r="A213" s="147"/>
    </row>
    <row r="214" spans="1:1">
      <c r="A214" s="147"/>
    </row>
    <row r="215" spans="1:1">
      <c r="A215" s="147"/>
    </row>
    <row r="216" spans="1:1">
      <c r="A216" s="147"/>
    </row>
    <row r="217" spans="1:1">
      <c r="A217" s="147"/>
    </row>
    <row r="218" spans="1:1">
      <c r="A218" s="147"/>
    </row>
    <row r="219" spans="1:1">
      <c r="A219" s="147"/>
    </row>
    <row r="220" spans="1:1">
      <c r="A220" s="147"/>
    </row>
    <row r="221" spans="1:1">
      <c r="A221" s="147"/>
    </row>
    <row r="222" spans="1:1">
      <c r="A222" s="147"/>
    </row>
    <row r="223" spans="1:1">
      <c r="A223" s="147"/>
    </row>
    <row r="224" spans="1:1">
      <c r="A224" s="147"/>
    </row>
    <row r="225" spans="1:1">
      <c r="A225" s="147"/>
    </row>
    <row r="226" spans="1:1">
      <c r="A226" s="147"/>
    </row>
    <row r="227" spans="1:1">
      <c r="A227" s="147"/>
    </row>
    <row r="228" spans="1:1">
      <c r="A228" s="147"/>
    </row>
    <row r="229" spans="1:1">
      <c r="A229" s="147"/>
    </row>
    <row r="230" spans="1:1">
      <c r="A230" s="147"/>
    </row>
    <row r="231" spans="1:1">
      <c r="A231" s="147"/>
    </row>
    <row r="232" spans="1:1">
      <c r="A232" s="147"/>
    </row>
    <row r="233" spans="1:1">
      <c r="A233" s="147"/>
    </row>
    <row r="234" spans="1:1">
      <c r="A234" s="147"/>
    </row>
    <row r="235" spans="1:1">
      <c r="A235" s="147"/>
    </row>
    <row r="236" spans="1:1">
      <c r="A236" s="147"/>
    </row>
    <row r="237" spans="1:1">
      <c r="A237" s="147"/>
    </row>
    <row r="238" spans="1:1">
      <c r="A238" s="147"/>
    </row>
    <row r="239" spans="1:1">
      <c r="A239" s="147"/>
    </row>
    <row r="240" spans="1:1">
      <c r="A240" s="147"/>
    </row>
    <row r="241" spans="1:1">
      <c r="A241" s="147"/>
    </row>
    <row r="242" spans="1:1">
      <c r="A242" s="147"/>
    </row>
    <row r="243" spans="1:1">
      <c r="A243" s="147"/>
    </row>
    <row r="244" spans="1:1">
      <c r="A244" s="147"/>
    </row>
    <row r="245" spans="1:1">
      <c r="A245" s="147"/>
    </row>
    <row r="246" spans="1:1">
      <c r="A246" s="147"/>
    </row>
    <row r="247" spans="1:1">
      <c r="A247" s="147"/>
    </row>
    <row r="248" spans="1:1">
      <c r="A248" s="147"/>
    </row>
    <row r="249" spans="1:1">
      <c r="A249" s="147"/>
    </row>
    <row r="250" spans="1:1">
      <c r="A250" s="147"/>
    </row>
    <row r="251" spans="1:1">
      <c r="A251" s="147"/>
    </row>
    <row r="252" spans="1:1">
      <c r="A252" s="147"/>
    </row>
    <row r="253" spans="1:1">
      <c r="A253" s="147"/>
    </row>
    <row r="254" spans="1:1">
      <c r="A254" s="147"/>
    </row>
    <row r="255" spans="1:1">
      <c r="A255" s="147"/>
    </row>
    <row r="256" spans="1:1">
      <c r="A256" s="147"/>
    </row>
    <row r="257" spans="1:1">
      <c r="A257" s="147"/>
    </row>
    <row r="258" spans="1:1">
      <c r="A258" s="147"/>
    </row>
    <row r="259" spans="1:1">
      <c r="A259" s="147"/>
    </row>
    <row r="260" spans="1:1">
      <c r="A260" s="147"/>
    </row>
    <row r="261" spans="1:1">
      <c r="A261" s="147"/>
    </row>
    <row r="262" spans="1:1">
      <c r="A262" s="147"/>
    </row>
    <row r="263" spans="1:1">
      <c r="A263" s="147"/>
    </row>
    <row r="264" spans="1:1">
      <c r="A264" s="147"/>
    </row>
    <row r="265" spans="1:1">
      <c r="A265" s="147"/>
    </row>
    <row r="266" spans="1:1">
      <c r="A266" s="147"/>
    </row>
    <row r="267" spans="1:1">
      <c r="A267" s="147"/>
    </row>
    <row r="268" spans="1:1">
      <c r="A268" s="147"/>
    </row>
    <row r="269" spans="1:1">
      <c r="A269" s="147"/>
    </row>
    <row r="270" spans="1:1">
      <c r="A270" s="147"/>
    </row>
    <row r="271" spans="1:1">
      <c r="A271" s="147"/>
    </row>
    <row r="272" spans="1:1">
      <c r="A272" s="147"/>
    </row>
    <row r="273" spans="1:1">
      <c r="A273" s="147"/>
    </row>
    <row r="274" spans="1:1">
      <c r="A274" s="147"/>
    </row>
    <row r="275" spans="1:1">
      <c r="A275" s="147"/>
    </row>
    <row r="276" spans="1:1">
      <c r="A276" s="147"/>
    </row>
    <row r="277" spans="1:1">
      <c r="A277" s="147"/>
    </row>
    <row r="278" spans="1:1">
      <c r="A278" s="147"/>
    </row>
    <row r="279" spans="1:1">
      <c r="A279" s="147"/>
    </row>
    <row r="280" spans="1:1">
      <c r="A280" s="147"/>
    </row>
    <row r="281" spans="1:1">
      <c r="A281" s="147"/>
    </row>
    <row r="282" spans="1:1">
      <c r="A282" s="147"/>
    </row>
    <row r="283" spans="1:1">
      <c r="A283" s="147"/>
    </row>
    <row r="284" spans="1:1">
      <c r="A284" s="147"/>
    </row>
    <row r="285" spans="1:1">
      <c r="A285" s="147"/>
    </row>
    <row r="286" spans="1:1">
      <c r="A286" s="147"/>
    </row>
    <row r="287" spans="1:1">
      <c r="A287" s="147"/>
    </row>
    <row r="288" spans="1:1">
      <c r="A288" s="147"/>
    </row>
    <row r="289" spans="1:1">
      <c r="A289" s="147"/>
    </row>
    <row r="290" spans="1:1">
      <c r="A290" s="147"/>
    </row>
    <row r="291" spans="1:1">
      <c r="A291" s="147"/>
    </row>
    <row r="292" spans="1:1">
      <c r="A292" s="147"/>
    </row>
    <row r="293" spans="1:1">
      <c r="A293" s="147"/>
    </row>
    <row r="294" spans="1:1">
      <c r="A294" s="147"/>
    </row>
    <row r="295" spans="1:1">
      <c r="A295" s="147"/>
    </row>
    <row r="296" spans="1:1">
      <c r="A296" s="147"/>
    </row>
    <row r="297" spans="1:1">
      <c r="A297" s="147"/>
    </row>
    <row r="298" spans="1:1">
      <c r="A298" s="147"/>
    </row>
    <row r="299" spans="1:1">
      <c r="A299" s="147"/>
    </row>
    <row r="300" spans="1:1">
      <c r="A300" s="147"/>
    </row>
    <row r="301" spans="1:1">
      <c r="A301" s="147"/>
    </row>
    <row r="302" spans="1:1">
      <c r="A302" s="147"/>
    </row>
    <row r="303" spans="1:1">
      <c r="A303" s="147"/>
    </row>
    <row r="304" spans="1:1">
      <c r="A304" s="147"/>
    </row>
    <row r="305" spans="1:1">
      <c r="A305" s="147"/>
    </row>
    <row r="306" spans="1:1">
      <c r="A306" s="147"/>
    </row>
    <row r="307" spans="1:1">
      <c r="A307" s="147"/>
    </row>
    <row r="308" spans="1:1">
      <c r="A308" s="147"/>
    </row>
    <row r="309" spans="1:1">
      <c r="A309" s="147"/>
    </row>
    <row r="310" spans="1:1">
      <c r="A310" s="147"/>
    </row>
    <row r="311" spans="1:1">
      <c r="A311" s="147"/>
    </row>
    <row r="312" spans="1:1">
      <c r="A312" s="147"/>
    </row>
    <row r="313" spans="1:1">
      <c r="A313" s="147"/>
    </row>
    <row r="314" spans="1:1">
      <c r="A314" s="147"/>
    </row>
    <row r="315" spans="1:1">
      <c r="A315" s="147"/>
    </row>
    <row r="316" spans="1:1">
      <c r="A316" s="147"/>
    </row>
    <row r="317" spans="1:1">
      <c r="A317" s="147"/>
    </row>
    <row r="318" spans="1:1">
      <c r="A318" s="147"/>
    </row>
    <row r="319" spans="1:1">
      <c r="A319" s="147"/>
    </row>
    <row r="320" spans="1:1">
      <c r="A320" s="147"/>
    </row>
    <row r="321" spans="1:1">
      <c r="A321" s="147"/>
    </row>
    <row r="322" spans="1:1">
      <c r="A322" s="147"/>
    </row>
    <row r="323" spans="1:1">
      <c r="A323" s="147"/>
    </row>
    <row r="324" spans="1:1">
      <c r="A324" s="147"/>
    </row>
    <row r="325" spans="1:1">
      <c r="A325" s="147"/>
    </row>
    <row r="326" spans="1:1">
      <c r="A326" s="147"/>
    </row>
    <row r="327" spans="1:1">
      <c r="A327" s="147"/>
    </row>
    <row r="328" spans="1:1">
      <c r="A328" s="147"/>
    </row>
    <row r="329" spans="1:1">
      <c r="A329" s="147"/>
    </row>
    <row r="330" spans="1:1">
      <c r="A330" s="147"/>
    </row>
    <row r="331" spans="1:1">
      <c r="A331" s="147"/>
    </row>
    <row r="332" spans="1:1">
      <c r="A332" s="147"/>
    </row>
    <row r="333" spans="1:1">
      <c r="A333" s="147"/>
    </row>
    <row r="334" spans="1:1">
      <c r="A334" s="147"/>
    </row>
    <row r="335" spans="1:1">
      <c r="A335" s="147"/>
    </row>
    <row r="336" spans="1:1">
      <c r="A336" s="147"/>
    </row>
    <row r="337" spans="1:1">
      <c r="A337" s="147"/>
    </row>
    <row r="338" spans="1:1">
      <c r="A338" s="147"/>
    </row>
    <row r="339" spans="1:1">
      <c r="A339" s="147"/>
    </row>
    <row r="340" spans="1:1">
      <c r="A340" s="147"/>
    </row>
    <row r="341" spans="1:1">
      <c r="A341" s="147"/>
    </row>
    <row r="342" spans="1:1">
      <c r="A342" s="147"/>
    </row>
    <row r="343" spans="1:1">
      <c r="A343" s="147"/>
    </row>
    <row r="344" spans="1:1">
      <c r="A344" s="147"/>
    </row>
    <row r="345" spans="1:1">
      <c r="A345" s="147"/>
    </row>
    <row r="346" spans="1:1">
      <c r="A346" s="147"/>
    </row>
    <row r="347" spans="1:1">
      <c r="A347" s="147"/>
    </row>
    <row r="348" spans="1:1">
      <c r="A348" s="147"/>
    </row>
    <row r="349" spans="1:1">
      <c r="A349" s="147"/>
    </row>
    <row r="350" spans="1:1">
      <c r="A350" s="147"/>
    </row>
    <row r="351" spans="1:1">
      <c r="A351" s="147"/>
    </row>
    <row r="352" spans="1:1">
      <c r="A352" s="147"/>
    </row>
    <row r="353" spans="1:1">
      <c r="A353" s="147"/>
    </row>
    <row r="354" spans="1:1">
      <c r="A354" s="147"/>
    </row>
    <row r="355" spans="1:1">
      <c r="A355" s="147"/>
    </row>
    <row r="356" spans="1:1">
      <c r="A356" s="147"/>
    </row>
    <row r="357" spans="1:1">
      <c r="A357" s="147"/>
    </row>
    <row r="358" spans="1:1">
      <c r="A358" s="147"/>
    </row>
    <row r="359" spans="1:1">
      <c r="A359" s="147"/>
    </row>
    <row r="360" spans="1:1">
      <c r="A360" s="147"/>
    </row>
    <row r="361" spans="1:1">
      <c r="A361" s="147"/>
    </row>
    <row r="362" spans="1:1">
      <c r="A362" s="147"/>
    </row>
    <row r="363" spans="1:1">
      <c r="A363" s="147"/>
    </row>
    <row r="364" spans="1:1">
      <c r="A364" s="147"/>
    </row>
    <row r="365" spans="1:1">
      <c r="A365" s="147"/>
    </row>
    <row r="366" spans="1:1">
      <c r="A366" s="147"/>
    </row>
    <row r="367" spans="1:1">
      <c r="A367" s="147"/>
    </row>
    <row r="368" spans="1:1">
      <c r="A368" s="147"/>
    </row>
    <row r="369" spans="1:1">
      <c r="A369" s="147"/>
    </row>
    <row r="370" spans="1:1">
      <c r="A370" s="147"/>
    </row>
    <row r="371" spans="1:1">
      <c r="A371" s="147"/>
    </row>
    <row r="372" spans="1:1">
      <c r="A372" s="147"/>
    </row>
    <row r="373" spans="1:1">
      <c r="A373" s="147"/>
    </row>
    <row r="374" spans="1:1">
      <c r="A374" s="147"/>
    </row>
    <row r="375" spans="1:1">
      <c r="A375" s="147"/>
    </row>
    <row r="376" spans="1:1">
      <c r="A376" s="147"/>
    </row>
    <row r="377" spans="1:1">
      <c r="A377" s="147"/>
    </row>
    <row r="378" spans="1:1">
      <c r="A378" s="147"/>
    </row>
    <row r="379" spans="1:1">
      <c r="A379" s="147"/>
    </row>
    <row r="380" spans="1:1">
      <c r="A380" s="147"/>
    </row>
    <row r="381" spans="1:1">
      <c r="A381" s="147"/>
    </row>
    <row r="382" spans="1:1">
      <c r="A382" s="147"/>
    </row>
    <row r="383" spans="1:1">
      <c r="A383" s="147"/>
    </row>
    <row r="384" spans="1:1">
      <c r="A384" s="147"/>
    </row>
    <row r="385" spans="1:1">
      <c r="A385" s="147"/>
    </row>
    <row r="386" spans="1:1">
      <c r="A386" s="147"/>
    </row>
    <row r="387" spans="1:1">
      <c r="A387" s="147"/>
    </row>
    <row r="388" spans="1:1">
      <c r="A388" s="147"/>
    </row>
    <row r="389" spans="1:1">
      <c r="A389" s="147"/>
    </row>
    <row r="390" spans="1:1">
      <c r="A390" s="147"/>
    </row>
    <row r="391" spans="1:1">
      <c r="A391" s="147"/>
    </row>
    <row r="392" spans="1:1">
      <c r="A392" s="147"/>
    </row>
    <row r="393" spans="1:1">
      <c r="A393" s="147"/>
    </row>
    <row r="394" spans="1:1">
      <c r="A394" s="147"/>
    </row>
    <row r="395" spans="1:1">
      <c r="A395" s="147"/>
    </row>
    <row r="396" spans="1:1">
      <c r="A396" s="147"/>
    </row>
    <row r="397" spans="1:1">
      <c r="A397" s="147"/>
    </row>
    <row r="398" spans="1:1">
      <c r="A398" s="147"/>
    </row>
    <row r="399" spans="1:1">
      <c r="A399" s="147"/>
    </row>
    <row r="400" spans="1:1">
      <c r="A400" s="147"/>
    </row>
    <row r="401" spans="1:1">
      <c r="A401" s="147"/>
    </row>
    <row r="402" spans="1:1">
      <c r="A402" s="147"/>
    </row>
    <row r="403" spans="1:1">
      <c r="A403" s="147"/>
    </row>
    <row r="404" spans="1:1">
      <c r="A404" s="147"/>
    </row>
    <row r="405" spans="1:1">
      <c r="A405" s="147"/>
    </row>
    <row r="406" spans="1:1">
      <c r="A406" s="147"/>
    </row>
    <row r="407" spans="1:1">
      <c r="A407" s="147"/>
    </row>
    <row r="408" spans="1:1">
      <c r="A408" s="147"/>
    </row>
    <row r="409" spans="1:1">
      <c r="A409" s="147"/>
    </row>
    <row r="410" spans="1:1">
      <c r="A410" s="147"/>
    </row>
    <row r="411" spans="1:1">
      <c r="A411" s="147"/>
    </row>
    <row r="412" spans="1:1">
      <c r="A412" s="147"/>
    </row>
    <row r="413" spans="1:1">
      <c r="A413" s="147"/>
    </row>
    <row r="414" spans="1:1">
      <c r="A414" s="147"/>
    </row>
    <row r="415" spans="1:1">
      <c r="A415" s="147"/>
    </row>
    <row r="416" spans="1:1">
      <c r="A416" s="147"/>
    </row>
    <row r="417" spans="1:1">
      <c r="A417" s="147"/>
    </row>
    <row r="418" spans="1:1">
      <c r="A418" s="147"/>
    </row>
    <row r="419" spans="1:1">
      <c r="A419" s="147"/>
    </row>
    <row r="420" spans="1:1">
      <c r="A420" s="147"/>
    </row>
    <row r="421" spans="1:1">
      <c r="A421" s="147"/>
    </row>
    <row r="422" spans="1:1">
      <c r="A422" s="147"/>
    </row>
    <row r="423" spans="1:1">
      <c r="A423" s="147"/>
    </row>
    <row r="424" spans="1:1">
      <c r="A424" s="147"/>
    </row>
    <row r="425" spans="1:1">
      <c r="A425" s="147"/>
    </row>
    <row r="426" spans="1:1">
      <c r="A426" s="147"/>
    </row>
    <row r="427" spans="1:1">
      <c r="A427" s="147"/>
    </row>
    <row r="428" spans="1:1">
      <c r="A428" s="147"/>
    </row>
    <row r="429" spans="1:1">
      <c r="A429" s="147"/>
    </row>
    <row r="430" spans="1:1">
      <c r="A430" s="147"/>
    </row>
    <row r="431" spans="1:1">
      <c r="A431" s="147"/>
    </row>
    <row r="432" spans="1:1">
      <c r="A432" s="147"/>
    </row>
    <row r="433" spans="1:1">
      <c r="A433" s="147"/>
    </row>
    <row r="434" spans="1:1">
      <c r="A434" s="147"/>
    </row>
    <row r="435" spans="1:1">
      <c r="A435" s="147"/>
    </row>
    <row r="436" spans="1:1">
      <c r="A436" s="147"/>
    </row>
    <row r="437" spans="1:1">
      <c r="A437" s="147"/>
    </row>
    <row r="438" spans="1:1">
      <c r="A438" s="147"/>
    </row>
    <row r="439" spans="1:1">
      <c r="A439" s="147"/>
    </row>
    <row r="440" spans="1:1">
      <c r="A440" s="147"/>
    </row>
    <row r="441" spans="1:1">
      <c r="A441" s="147"/>
    </row>
    <row r="442" spans="1:1">
      <c r="A442" s="147"/>
    </row>
    <row r="443" spans="1:1">
      <c r="A443" s="147"/>
    </row>
    <row r="444" spans="1:1">
      <c r="A444" s="147"/>
    </row>
    <row r="445" spans="1:1">
      <c r="A445" s="147"/>
    </row>
    <row r="446" spans="1:1">
      <c r="A446" s="147"/>
    </row>
    <row r="447" spans="1:1">
      <c r="A447" s="147"/>
    </row>
    <row r="448" spans="1:1">
      <c r="A448" s="147"/>
    </row>
    <row r="449" spans="1:1">
      <c r="A449" s="147"/>
    </row>
    <row r="450" spans="1:1">
      <c r="A450" s="147"/>
    </row>
    <row r="451" spans="1:1">
      <c r="A451" s="147"/>
    </row>
    <row r="452" spans="1:1">
      <c r="A452" s="147"/>
    </row>
    <row r="453" spans="1:1">
      <c r="A453" s="147"/>
    </row>
    <row r="454" spans="1:1">
      <c r="A454" s="147"/>
    </row>
    <row r="455" spans="1:1">
      <c r="A455" s="147"/>
    </row>
    <row r="456" spans="1:1">
      <c r="A456" s="147"/>
    </row>
    <row r="457" spans="1:1">
      <c r="A457" s="147"/>
    </row>
    <row r="458" spans="1:1">
      <c r="A458" s="147"/>
    </row>
    <row r="459" spans="1:1">
      <c r="A459" s="147"/>
    </row>
    <row r="460" spans="1:1">
      <c r="A460" s="147"/>
    </row>
    <row r="461" spans="1:1">
      <c r="A461" s="147"/>
    </row>
    <row r="462" spans="1:1">
      <c r="A462" s="147"/>
    </row>
    <row r="463" spans="1:1">
      <c r="A463" s="147"/>
    </row>
    <row r="464" spans="1:1">
      <c r="A464" s="147"/>
    </row>
    <row r="465" spans="1:1">
      <c r="A465" s="147"/>
    </row>
    <row r="466" spans="1:1">
      <c r="A466" s="147"/>
    </row>
    <row r="467" spans="1:1">
      <c r="A467" s="147"/>
    </row>
    <row r="468" spans="1:1">
      <c r="A468" s="147"/>
    </row>
    <row r="469" spans="1:1">
      <c r="A469" s="147"/>
    </row>
    <row r="470" spans="1:1">
      <c r="A470" s="147"/>
    </row>
    <row r="471" spans="1:1">
      <c r="A471" s="147"/>
    </row>
    <row r="472" spans="1:1">
      <c r="A472" s="147"/>
    </row>
    <row r="473" spans="1:1">
      <c r="A473" s="147"/>
    </row>
    <row r="474" spans="1:1">
      <c r="A474" s="147"/>
    </row>
    <row r="475" spans="1:1">
      <c r="A475" s="147"/>
    </row>
    <row r="476" spans="1:1">
      <c r="A476" s="147"/>
    </row>
    <row r="477" spans="1:1">
      <c r="A477" s="147"/>
    </row>
    <row r="478" spans="1:1">
      <c r="A478" s="147"/>
    </row>
    <row r="479" spans="1:1">
      <c r="A479" s="147"/>
    </row>
    <row r="480" spans="1:1">
      <c r="A480" s="147"/>
    </row>
    <row r="481" spans="1:1">
      <c r="A481" s="147"/>
    </row>
    <row r="482" spans="1:1">
      <c r="A482" s="147"/>
    </row>
    <row r="483" spans="1:1">
      <c r="A483" s="147"/>
    </row>
    <row r="484" spans="1:1">
      <c r="A484" s="147"/>
    </row>
    <row r="485" spans="1:1">
      <c r="A485" s="147"/>
    </row>
    <row r="486" spans="1:1">
      <c r="A486" s="147"/>
    </row>
    <row r="487" spans="1:1">
      <c r="A487" s="147"/>
    </row>
    <row r="488" spans="1:1">
      <c r="A488" s="147"/>
    </row>
    <row r="489" spans="1:1">
      <c r="A489" s="147"/>
    </row>
    <row r="490" spans="1:1">
      <c r="A490" s="147"/>
    </row>
    <row r="491" spans="1:1">
      <c r="A491" s="147"/>
    </row>
    <row r="492" spans="1:1">
      <c r="A492" s="147"/>
    </row>
    <row r="493" spans="1:1">
      <c r="A493" s="147"/>
    </row>
    <row r="494" spans="1:1">
      <c r="A494" s="147"/>
    </row>
    <row r="495" spans="1:1">
      <c r="A495" s="147"/>
    </row>
    <row r="496" spans="1:1">
      <c r="A496" s="147"/>
    </row>
    <row r="497" spans="1:1">
      <c r="A497" s="147"/>
    </row>
    <row r="498" spans="1:1">
      <c r="A498" s="147"/>
    </row>
    <row r="499" spans="1:1">
      <c r="A499" s="147"/>
    </row>
    <row r="500" spans="1:1">
      <c r="A500" s="147"/>
    </row>
    <row r="501" spans="1:1">
      <c r="A501" s="147"/>
    </row>
    <row r="502" spans="1:1">
      <c r="A502" s="147"/>
    </row>
    <row r="503" spans="1:1">
      <c r="A503" s="147"/>
    </row>
    <row r="504" spans="1:1">
      <c r="A504" s="147"/>
    </row>
    <row r="505" spans="1:1">
      <c r="A505" s="147"/>
    </row>
    <row r="506" spans="1:1">
      <c r="A506" s="147"/>
    </row>
    <row r="507" spans="1:1">
      <c r="A507" s="147"/>
    </row>
    <row r="508" spans="1:1">
      <c r="A508" s="147"/>
    </row>
    <row r="509" spans="1:1">
      <c r="A509" s="147"/>
    </row>
    <row r="510" spans="1:1">
      <c r="A510" s="147"/>
    </row>
    <row r="511" spans="1:1">
      <c r="A511" s="147"/>
    </row>
    <row r="512" spans="1:1">
      <c r="A512" s="147"/>
    </row>
    <row r="513" spans="1:1">
      <c r="A513" s="147"/>
    </row>
    <row r="514" spans="1:1">
      <c r="A514" s="147"/>
    </row>
    <row r="515" spans="1:1">
      <c r="A515" s="147"/>
    </row>
    <row r="516" spans="1:1">
      <c r="A516" s="147"/>
    </row>
    <row r="517" spans="1:1">
      <c r="A517" s="147"/>
    </row>
    <row r="518" spans="1:1">
      <c r="A518" s="147"/>
    </row>
    <row r="519" spans="1:1">
      <c r="A519" s="147"/>
    </row>
    <row r="520" spans="1:1">
      <c r="A520" s="147"/>
    </row>
    <row r="521" spans="1:1">
      <c r="A521" s="147"/>
    </row>
    <row r="522" spans="1:1">
      <c r="A522" s="147"/>
    </row>
    <row r="523" spans="1:1">
      <c r="A523" s="147"/>
    </row>
    <row r="524" spans="1:1">
      <c r="A524" s="147"/>
    </row>
    <row r="525" spans="1:1">
      <c r="A525" s="147"/>
    </row>
    <row r="526" spans="1:1">
      <c r="A526" s="147"/>
    </row>
    <row r="527" spans="1:1">
      <c r="A527" s="147"/>
    </row>
    <row r="528" spans="1:1">
      <c r="A528" s="147"/>
    </row>
    <row r="529" spans="1:1">
      <c r="A529" s="147"/>
    </row>
    <row r="530" spans="1:1">
      <c r="A530" s="147"/>
    </row>
    <row r="531" spans="1:1">
      <c r="A531" s="147"/>
    </row>
    <row r="532" spans="1:1">
      <c r="A532" s="147"/>
    </row>
    <row r="533" spans="1:1">
      <c r="A533" s="147"/>
    </row>
    <row r="534" spans="1:1">
      <c r="A534" s="147"/>
    </row>
    <row r="535" spans="1:1">
      <c r="A535" s="147"/>
    </row>
    <row r="536" spans="1:1">
      <c r="A536" s="147"/>
    </row>
    <row r="537" spans="1:1">
      <c r="A537" s="147"/>
    </row>
    <row r="538" spans="1:1">
      <c r="A538" s="147"/>
    </row>
    <row r="539" spans="1:1">
      <c r="A539" s="147"/>
    </row>
    <row r="540" spans="1:1">
      <c r="A540" s="147"/>
    </row>
    <row r="541" spans="1:1">
      <c r="A541" s="147"/>
    </row>
    <row r="542" spans="1:1">
      <c r="A542" s="147"/>
    </row>
    <row r="543" spans="1:1">
      <c r="A543" s="147"/>
    </row>
    <row r="544" spans="1:1">
      <c r="A544" s="147"/>
    </row>
    <row r="545" spans="1:1">
      <c r="A545" s="147"/>
    </row>
    <row r="546" spans="1:1">
      <c r="A546" s="147"/>
    </row>
    <row r="547" spans="1:1">
      <c r="A547" s="147"/>
    </row>
    <row r="548" spans="1:1">
      <c r="A548" s="147"/>
    </row>
    <row r="549" spans="1:1">
      <c r="A549" s="147"/>
    </row>
    <row r="550" spans="1:1">
      <c r="A550" s="147"/>
    </row>
    <row r="551" spans="1:1">
      <c r="A551" s="147"/>
    </row>
  </sheetData>
  <mergeCells count="5">
    <mergeCell ref="B10:F10"/>
    <mergeCell ref="B27:F27"/>
    <mergeCell ref="B44:F44"/>
    <mergeCell ref="A5:F5"/>
    <mergeCell ref="A63:F63"/>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3815D-B230-4836-A28E-59B67A2E8B21}">
  <dimension ref="A1:H49"/>
  <sheetViews>
    <sheetView zoomScaleNormal="100" workbookViewId="0">
      <selection activeCell="A4" sqref="A4"/>
    </sheetView>
  </sheetViews>
  <sheetFormatPr defaultRowHeight="14.5"/>
  <cols>
    <col min="1" max="1" width="38.453125" customWidth="1"/>
    <col min="3" max="3" width="0.81640625" customWidth="1"/>
    <col min="5" max="5" width="0.81640625" customWidth="1"/>
    <col min="6" max="6" width="14.453125" customWidth="1"/>
    <col min="7" max="7" width="0.81640625" customWidth="1"/>
    <col min="8" max="8" width="10.7265625" customWidth="1"/>
    <col min="191" max="191" width="38.453125" customWidth="1"/>
    <col min="193" max="193" width="0.81640625" customWidth="1"/>
    <col min="195" max="195" width="14.453125" customWidth="1"/>
    <col min="196" max="196" width="0.81640625" customWidth="1"/>
    <col min="197" max="197" width="10.7265625" customWidth="1"/>
    <col min="200" max="200" width="25.1796875" bestFit="1" customWidth="1"/>
    <col min="447" max="447" width="38.453125" customWidth="1"/>
    <col min="449" max="449" width="0.81640625" customWidth="1"/>
    <col min="451" max="451" width="14.453125" customWidth="1"/>
    <col min="452" max="452" width="0.81640625" customWidth="1"/>
    <col min="453" max="453" width="10.7265625" customWidth="1"/>
    <col min="456" max="456" width="25.1796875" bestFit="1" customWidth="1"/>
    <col min="703" max="703" width="38.453125" customWidth="1"/>
    <col min="705" max="705" width="0.81640625" customWidth="1"/>
    <col min="707" max="707" width="14.453125" customWidth="1"/>
    <col min="708" max="708" width="0.81640625" customWidth="1"/>
    <col min="709" max="709" width="10.7265625" customWidth="1"/>
    <col min="712" max="712" width="25.1796875" bestFit="1" customWidth="1"/>
    <col min="959" max="959" width="38.453125" customWidth="1"/>
    <col min="961" max="961" width="0.81640625" customWidth="1"/>
    <col min="963" max="963" width="14.453125" customWidth="1"/>
    <col min="964" max="964" width="0.81640625" customWidth="1"/>
    <col min="965" max="965" width="10.7265625" customWidth="1"/>
    <col min="968" max="968" width="25.1796875" bestFit="1" customWidth="1"/>
    <col min="1215" max="1215" width="38.453125" customWidth="1"/>
    <col min="1217" max="1217" width="0.81640625" customWidth="1"/>
    <col min="1219" max="1219" width="14.453125" customWidth="1"/>
    <col min="1220" max="1220" width="0.81640625" customWidth="1"/>
    <col min="1221" max="1221" width="10.7265625" customWidth="1"/>
    <col min="1224" max="1224" width="25.1796875" bestFit="1" customWidth="1"/>
    <col min="1471" max="1471" width="38.453125" customWidth="1"/>
    <col min="1473" max="1473" width="0.81640625" customWidth="1"/>
    <col min="1475" max="1475" width="14.453125" customWidth="1"/>
    <col min="1476" max="1476" width="0.81640625" customWidth="1"/>
    <col min="1477" max="1477" width="10.7265625" customWidth="1"/>
    <col min="1480" max="1480" width="25.1796875" bestFit="1" customWidth="1"/>
    <col min="1727" max="1727" width="38.453125" customWidth="1"/>
    <col min="1729" max="1729" width="0.81640625" customWidth="1"/>
    <col min="1731" max="1731" width="14.453125" customWidth="1"/>
    <col min="1732" max="1732" width="0.81640625" customWidth="1"/>
    <col min="1733" max="1733" width="10.7265625" customWidth="1"/>
    <col min="1736" max="1736" width="25.1796875" bestFit="1" customWidth="1"/>
    <col min="1983" max="1983" width="38.453125" customWidth="1"/>
    <col min="1985" max="1985" width="0.81640625" customWidth="1"/>
    <col min="1987" max="1987" width="14.453125" customWidth="1"/>
    <col min="1988" max="1988" width="0.81640625" customWidth="1"/>
    <col min="1989" max="1989" width="10.7265625" customWidth="1"/>
    <col min="1992" max="1992" width="25.1796875" bestFit="1" customWidth="1"/>
    <col min="2239" max="2239" width="38.453125" customWidth="1"/>
    <col min="2241" max="2241" width="0.81640625" customWidth="1"/>
    <col min="2243" max="2243" width="14.453125" customWidth="1"/>
    <col min="2244" max="2244" width="0.81640625" customWidth="1"/>
    <col min="2245" max="2245" width="10.7265625" customWidth="1"/>
    <col min="2248" max="2248" width="25.1796875" bestFit="1" customWidth="1"/>
    <col min="2495" max="2495" width="38.453125" customWidth="1"/>
    <col min="2497" max="2497" width="0.81640625" customWidth="1"/>
    <col min="2499" max="2499" width="14.453125" customWidth="1"/>
    <col min="2500" max="2500" width="0.81640625" customWidth="1"/>
    <col min="2501" max="2501" width="10.7265625" customWidth="1"/>
    <col min="2504" max="2504" width="25.1796875" bestFit="1" customWidth="1"/>
    <col min="2751" max="2751" width="38.453125" customWidth="1"/>
    <col min="2753" max="2753" width="0.81640625" customWidth="1"/>
    <col min="2755" max="2755" width="14.453125" customWidth="1"/>
    <col min="2756" max="2756" width="0.81640625" customWidth="1"/>
    <col min="2757" max="2757" width="10.7265625" customWidth="1"/>
    <col min="2760" max="2760" width="25.1796875" bestFit="1" customWidth="1"/>
    <col min="3007" max="3007" width="38.453125" customWidth="1"/>
    <col min="3009" max="3009" width="0.81640625" customWidth="1"/>
    <col min="3011" max="3011" width="14.453125" customWidth="1"/>
    <col min="3012" max="3012" width="0.81640625" customWidth="1"/>
    <col min="3013" max="3013" width="10.7265625" customWidth="1"/>
    <col min="3016" max="3016" width="25.1796875" bestFit="1" customWidth="1"/>
    <col min="3263" max="3263" width="38.453125" customWidth="1"/>
    <col min="3265" max="3265" width="0.81640625" customWidth="1"/>
    <col min="3267" max="3267" width="14.453125" customWidth="1"/>
    <col min="3268" max="3268" width="0.81640625" customWidth="1"/>
    <col min="3269" max="3269" width="10.7265625" customWidth="1"/>
    <col min="3272" max="3272" width="25.1796875" bestFit="1" customWidth="1"/>
    <col min="3519" max="3519" width="38.453125" customWidth="1"/>
    <col min="3521" max="3521" width="0.81640625" customWidth="1"/>
    <col min="3523" max="3523" width="14.453125" customWidth="1"/>
    <col min="3524" max="3524" width="0.81640625" customWidth="1"/>
    <col min="3525" max="3525" width="10.7265625" customWidth="1"/>
    <col min="3528" max="3528" width="25.1796875" bestFit="1" customWidth="1"/>
    <col min="3775" max="3775" width="38.453125" customWidth="1"/>
    <col min="3777" max="3777" width="0.81640625" customWidth="1"/>
    <col min="3779" max="3779" width="14.453125" customWidth="1"/>
    <col min="3780" max="3780" width="0.81640625" customWidth="1"/>
    <col min="3781" max="3781" width="10.7265625" customWidth="1"/>
    <col min="3784" max="3784" width="25.1796875" bestFit="1" customWidth="1"/>
    <col min="4031" max="4031" width="38.453125" customWidth="1"/>
    <col min="4033" max="4033" width="0.81640625" customWidth="1"/>
    <col min="4035" max="4035" width="14.453125" customWidth="1"/>
    <col min="4036" max="4036" width="0.81640625" customWidth="1"/>
    <col min="4037" max="4037" width="10.7265625" customWidth="1"/>
    <col min="4040" max="4040" width="25.1796875" bestFit="1" customWidth="1"/>
    <col min="4287" max="4287" width="38.453125" customWidth="1"/>
    <col min="4289" max="4289" width="0.81640625" customWidth="1"/>
    <col min="4291" max="4291" width="14.453125" customWidth="1"/>
    <col min="4292" max="4292" width="0.81640625" customWidth="1"/>
    <col min="4293" max="4293" width="10.7265625" customWidth="1"/>
    <col min="4296" max="4296" width="25.1796875" bestFit="1" customWidth="1"/>
    <col min="4543" max="4543" width="38.453125" customWidth="1"/>
    <col min="4545" max="4545" width="0.81640625" customWidth="1"/>
    <col min="4547" max="4547" width="14.453125" customWidth="1"/>
    <col min="4548" max="4548" width="0.81640625" customWidth="1"/>
    <col min="4549" max="4549" width="10.7265625" customWidth="1"/>
    <col min="4552" max="4552" width="25.1796875" bestFit="1" customWidth="1"/>
    <col min="4799" max="4799" width="38.453125" customWidth="1"/>
    <col min="4801" max="4801" width="0.81640625" customWidth="1"/>
    <col min="4803" max="4803" width="14.453125" customWidth="1"/>
    <col min="4804" max="4804" width="0.81640625" customWidth="1"/>
    <col min="4805" max="4805" width="10.7265625" customWidth="1"/>
    <col min="4808" max="4808" width="25.1796875" bestFit="1" customWidth="1"/>
    <col min="5055" max="5055" width="38.453125" customWidth="1"/>
    <col min="5057" max="5057" width="0.81640625" customWidth="1"/>
    <col min="5059" max="5059" width="14.453125" customWidth="1"/>
    <col min="5060" max="5060" width="0.81640625" customWidth="1"/>
    <col min="5061" max="5061" width="10.7265625" customWidth="1"/>
    <col min="5064" max="5064" width="25.1796875" bestFit="1" customWidth="1"/>
    <col min="5311" max="5311" width="38.453125" customWidth="1"/>
    <col min="5313" max="5313" width="0.81640625" customWidth="1"/>
    <col min="5315" max="5315" width="14.453125" customWidth="1"/>
    <col min="5316" max="5316" width="0.81640625" customWidth="1"/>
    <col min="5317" max="5317" width="10.7265625" customWidth="1"/>
    <col min="5320" max="5320" width="25.1796875" bestFit="1" customWidth="1"/>
    <col min="5567" max="5567" width="38.453125" customWidth="1"/>
    <col min="5569" max="5569" width="0.81640625" customWidth="1"/>
    <col min="5571" max="5571" width="14.453125" customWidth="1"/>
    <col min="5572" max="5572" width="0.81640625" customWidth="1"/>
    <col min="5573" max="5573" width="10.7265625" customWidth="1"/>
    <col min="5576" max="5576" width="25.1796875" bestFit="1" customWidth="1"/>
    <col min="5823" max="5823" width="38.453125" customWidth="1"/>
    <col min="5825" max="5825" width="0.81640625" customWidth="1"/>
    <col min="5827" max="5827" width="14.453125" customWidth="1"/>
    <col min="5828" max="5828" width="0.81640625" customWidth="1"/>
    <col min="5829" max="5829" width="10.7265625" customWidth="1"/>
    <col min="5832" max="5832" width="25.1796875" bestFit="1" customWidth="1"/>
    <col min="6079" max="6079" width="38.453125" customWidth="1"/>
    <col min="6081" max="6081" width="0.81640625" customWidth="1"/>
    <col min="6083" max="6083" width="14.453125" customWidth="1"/>
    <col min="6084" max="6084" width="0.81640625" customWidth="1"/>
    <col min="6085" max="6085" width="10.7265625" customWidth="1"/>
    <col min="6088" max="6088" width="25.1796875" bestFit="1" customWidth="1"/>
    <col min="6335" max="6335" width="38.453125" customWidth="1"/>
    <col min="6337" max="6337" width="0.81640625" customWidth="1"/>
    <col min="6339" max="6339" width="14.453125" customWidth="1"/>
    <col min="6340" max="6340" width="0.81640625" customWidth="1"/>
    <col min="6341" max="6341" width="10.7265625" customWidth="1"/>
    <col min="6344" max="6344" width="25.1796875" bestFit="1" customWidth="1"/>
    <col min="6591" max="6591" width="38.453125" customWidth="1"/>
    <col min="6593" max="6593" width="0.81640625" customWidth="1"/>
    <col min="6595" max="6595" width="14.453125" customWidth="1"/>
    <col min="6596" max="6596" width="0.81640625" customWidth="1"/>
    <col min="6597" max="6597" width="10.7265625" customWidth="1"/>
    <col min="6600" max="6600" width="25.1796875" bestFit="1" customWidth="1"/>
    <col min="6847" max="6847" width="38.453125" customWidth="1"/>
    <col min="6849" max="6849" width="0.81640625" customWidth="1"/>
    <col min="6851" max="6851" width="14.453125" customWidth="1"/>
    <col min="6852" max="6852" width="0.81640625" customWidth="1"/>
    <col min="6853" max="6853" width="10.7265625" customWidth="1"/>
    <col min="6856" max="6856" width="25.1796875" bestFit="1" customWidth="1"/>
    <col min="7103" max="7103" width="38.453125" customWidth="1"/>
    <col min="7105" max="7105" width="0.81640625" customWidth="1"/>
    <col min="7107" max="7107" width="14.453125" customWidth="1"/>
    <col min="7108" max="7108" width="0.81640625" customWidth="1"/>
    <col min="7109" max="7109" width="10.7265625" customWidth="1"/>
    <col min="7112" max="7112" width="25.1796875" bestFit="1" customWidth="1"/>
    <col min="7359" max="7359" width="38.453125" customWidth="1"/>
    <col min="7361" max="7361" width="0.81640625" customWidth="1"/>
    <col min="7363" max="7363" width="14.453125" customWidth="1"/>
    <col min="7364" max="7364" width="0.81640625" customWidth="1"/>
    <col min="7365" max="7365" width="10.7265625" customWidth="1"/>
    <col min="7368" max="7368" width="25.1796875" bestFit="1" customWidth="1"/>
    <col min="7615" max="7615" width="38.453125" customWidth="1"/>
    <col min="7617" max="7617" width="0.81640625" customWidth="1"/>
    <col min="7619" max="7619" width="14.453125" customWidth="1"/>
    <col min="7620" max="7620" width="0.81640625" customWidth="1"/>
    <col min="7621" max="7621" width="10.7265625" customWidth="1"/>
    <col min="7624" max="7624" width="25.1796875" bestFit="1" customWidth="1"/>
    <col min="7871" max="7871" width="38.453125" customWidth="1"/>
    <col min="7873" max="7873" width="0.81640625" customWidth="1"/>
    <col min="7875" max="7875" width="14.453125" customWidth="1"/>
    <col min="7876" max="7876" width="0.81640625" customWidth="1"/>
    <col min="7877" max="7877" width="10.7265625" customWidth="1"/>
    <col min="7880" max="7880" width="25.1796875" bestFit="1" customWidth="1"/>
    <col min="8127" max="8127" width="38.453125" customWidth="1"/>
    <col min="8129" max="8129" width="0.81640625" customWidth="1"/>
    <col min="8131" max="8131" width="14.453125" customWidth="1"/>
    <col min="8132" max="8132" width="0.81640625" customWidth="1"/>
    <col min="8133" max="8133" width="10.7265625" customWidth="1"/>
    <col min="8136" max="8136" width="25.1796875" bestFit="1" customWidth="1"/>
    <col min="8383" max="8383" width="38.453125" customWidth="1"/>
    <col min="8385" max="8385" width="0.81640625" customWidth="1"/>
    <col min="8387" max="8387" width="14.453125" customWidth="1"/>
    <col min="8388" max="8388" width="0.81640625" customWidth="1"/>
    <col min="8389" max="8389" width="10.7265625" customWidth="1"/>
    <col min="8392" max="8392" width="25.1796875" bestFit="1" customWidth="1"/>
    <col min="8639" max="8639" width="38.453125" customWidth="1"/>
    <col min="8641" max="8641" width="0.81640625" customWidth="1"/>
    <col min="8643" max="8643" width="14.453125" customWidth="1"/>
    <col min="8644" max="8644" width="0.81640625" customWidth="1"/>
    <col min="8645" max="8645" width="10.7265625" customWidth="1"/>
    <col min="8648" max="8648" width="25.1796875" bestFit="1" customWidth="1"/>
    <col min="8895" max="8895" width="38.453125" customWidth="1"/>
    <col min="8897" max="8897" width="0.81640625" customWidth="1"/>
    <col min="8899" max="8899" width="14.453125" customWidth="1"/>
    <col min="8900" max="8900" width="0.81640625" customWidth="1"/>
    <col min="8901" max="8901" width="10.7265625" customWidth="1"/>
    <col min="8904" max="8904" width="25.1796875" bestFit="1" customWidth="1"/>
    <col min="9151" max="9151" width="38.453125" customWidth="1"/>
    <col min="9153" max="9153" width="0.81640625" customWidth="1"/>
    <col min="9155" max="9155" width="14.453125" customWidth="1"/>
    <col min="9156" max="9156" width="0.81640625" customWidth="1"/>
    <col min="9157" max="9157" width="10.7265625" customWidth="1"/>
    <col min="9160" max="9160" width="25.1796875" bestFit="1" customWidth="1"/>
    <col min="9407" max="9407" width="38.453125" customWidth="1"/>
    <col min="9409" max="9409" width="0.81640625" customWidth="1"/>
    <col min="9411" max="9411" width="14.453125" customWidth="1"/>
    <col min="9412" max="9412" width="0.81640625" customWidth="1"/>
    <col min="9413" max="9413" width="10.7265625" customWidth="1"/>
    <col min="9416" max="9416" width="25.1796875" bestFit="1" customWidth="1"/>
    <col min="9663" max="9663" width="38.453125" customWidth="1"/>
    <col min="9665" max="9665" width="0.81640625" customWidth="1"/>
    <col min="9667" max="9667" width="14.453125" customWidth="1"/>
    <col min="9668" max="9668" width="0.81640625" customWidth="1"/>
    <col min="9669" max="9669" width="10.7265625" customWidth="1"/>
    <col min="9672" max="9672" width="25.1796875" bestFit="1" customWidth="1"/>
    <col min="9919" max="9919" width="38.453125" customWidth="1"/>
    <col min="9921" max="9921" width="0.81640625" customWidth="1"/>
    <col min="9923" max="9923" width="14.453125" customWidth="1"/>
    <col min="9924" max="9924" width="0.81640625" customWidth="1"/>
    <col min="9925" max="9925" width="10.7265625" customWidth="1"/>
    <col min="9928" max="9928" width="25.1796875" bestFit="1" customWidth="1"/>
    <col min="10175" max="10175" width="38.453125" customWidth="1"/>
    <col min="10177" max="10177" width="0.81640625" customWidth="1"/>
    <col min="10179" max="10179" width="14.453125" customWidth="1"/>
    <col min="10180" max="10180" width="0.81640625" customWidth="1"/>
    <col min="10181" max="10181" width="10.7265625" customWidth="1"/>
    <col min="10184" max="10184" width="25.1796875" bestFit="1" customWidth="1"/>
    <col min="10431" max="10431" width="38.453125" customWidth="1"/>
    <col min="10433" max="10433" width="0.81640625" customWidth="1"/>
    <col min="10435" max="10435" width="14.453125" customWidth="1"/>
    <col min="10436" max="10436" width="0.81640625" customWidth="1"/>
    <col min="10437" max="10437" width="10.7265625" customWidth="1"/>
    <col min="10440" max="10440" width="25.1796875" bestFit="1" customWidth="1"/>
    <col min="10687" max="10687" width="38.453125" customWidth="1"/>
    <col min="10689" max="10689" width="0.81640625" customWidth="1"/>
    <col min="10691" max="10691" width="14.453125" customWidth="1"/>
    <col min="10692" max="10692" width="0.81640625" customWidth="1"/>
    <col min="10693" max="10693" width="10.7265625" customWidth="1"/>
    <col min="10696" max="10696" width="25.1796875" bestFit="1" customWidth="1"/>
    <col min="10943" max="10943" width="38.453125" customWidth="1"/>
    <col min="10945" max="10945" width="0.81640625" customWidth="1"/>
    <col min="10947" max="10947" width="14.453125" customWidth="1"/>
    <col min="10948" max="10948" width="0.81640625" customWidth="1"/>
    <col min="10949" max="10949" width="10.7265625" customWidth="1"/>
    <col min="10952" max="10952" width="25.1796875" bestFit="1" customWidth="1"/>
    <col min="11199" max="11199" width="38.453125" customWidth="1"/>
    <col min="11201" max="11201" width="0.81640625" customWidth="1"/>
    <col min="11203" max="11203" width="14.453125" customWidth="1"/>
    <col min="11204" max="11204" width="0.81640625" customWidth="1"/>
    <col min="11205" max="11205" width="10.7265625" customWidth="1"/>
    <col min="11208" max="11208" width="25.1796875" bestFit="1" customWidth="1"/>
    <col min="11455" max="11455" width="38.453125" customWidth="1"/>
    <col min="11457" max="11457" width="0.81640625" customWidth="1"/>
    <col min="11459" max="11459" width="14.453125" customWidth="1"/>
    <col min="11460" max="11460" width="0.81640625" customWidth="1"/>
    <col min="11461" max="11461" width="10.7265625" customWidth="1"/>
    <col min="11464" max="11464" width="25.1796875" bestFit="1" customWidth="1"/>
    <col min="11711" max="11711" width="38.453125" customWidth="1"/>
    <col min="11713" max="11713" width="0.81640625" customWidth="1"/>
    <col min="11715" max="11715" width="14.453125" customWidth="1"/>
    <col min="11716" max="11716" width="0.81640625" customWidth="1"/>
    <col min="11717" max="11717" width="10.7265625" customWidth="1"/>
    <col min="11720" max="11720" width="25.1796875" bestFit="1" customWidth="1"/>
    <col min="11967" max="11967" width="38.453125" customWidth="1"/>
    <col min="11969" max="11969" width="0.81640625" customWidth="1"/>
    <col min="11971" max="11971" width="14.453125" customWidth="1"/>
    <col min="11972" max="11972" width="0.81640625" customWidth="1"/>
    <col min="11973" max="11973" width="10.7265625" customWidth="1"/>
    <col min="11976" max="11976" width="25.1796875" bestFit="1" customWidth="1"/>
    <col min="12223" max="12223" width="38.453125" customWidth="1"/>
    <col min="12225" max="12225" width="0.81640625" customWidth="1"/>
    <col min="12227" max="12227" width="14.453125" customWidth="1"/>
    <col min="12228" max="12228" width="0.81640625" customWidth="1"/>
    <col min="12229" max="12229" width="10.7265625" customWidth="1"/>
    <col min="12232" max="12232" width="25.1796875" bestFit="1" customWidth="1"/>
    <col min="12479" max="12479" width="38.453125" customWidth="1"/>
    <col min="12481" max="12481" width="0.81640625" customWidth="1"/>
    <col min="12483" max="12483" width="14.453125" customWidth="1"/>
    <col min="12484" max="12484" width="0.81640625" customWidth="1"/>
    <col min="12485" max="12485" width="10.7265625" customWidth="1"/>
    <col min="12488" max="12488" width="25.1796875" bestFit="1" customWidth="1"/>
    <col min="12735" max="12735" width="38.453125" customWidth="1"/>
    <col min="12737" max="12737" width="0.81640625" customWidth="1"/>
    <col min="12739" max="12739" width="14.453125" customWidth="1"/>
    <col min="12740" max="12740" width="0.81640625" customWidth="1"/>
    <col min="12741" max="12741" width="10.7265625" customWidth="1"/>
    <col min="12744" max="12744" width="25.1796875" bestFit="1" customWidth="1"/>
    <col min="12991" max="12991" width="38.453125" customWidth="1"/>
    <col min="12993" max="12993" width="0.81640625" customWidth="1"/>
    <col min="12995" max="12995" width="14.453125" customWidth="1"/>
    <col min="12996" max="12996" width="0.81640625" customWidth="1"/>
    <col min="12997" max="12997" width="10.7265625" customWidth="1"/>
    <col min="13000" max="13000" width="25.1796875" bestFit="1" customWidth="1"/>
    <col min="13247" max="13247" width="38.453125" customWidth="1"/>
    <col min="13249" max="13249" width="0.81640625" customWidth="1"/>
    <col min="13251" max="13251" width="14.453125" customWidth="1"/>
    <col min="13252" max="13252" width="0.81640625" customWidth="1"/>
    <col min="13253" max="13253" width="10.7265625" customWidth="1"/>
    <col min="13256" max="13256" width="25.1796875" bestFit="1" customWidth="1"/>
    <col min="13503" max="13503" width="38.453125" customWidth="1"/>
    <col min="13505" max="13505" width="0.81640625" customWidth="1"/>
    <col min="13507" max="13507" width="14.453125" customWidth="1"/>
    <col min="13508" max="13508" width="0.81640625" customWidth="1"/>
    <col min="13509" max="13509" width="10.7265625" customWidth="1"/>
    <col min="13512" max="13512" width="25.1796875" bestFit="1" customWidth="1"/>
    <col min="13759" max="13759" width="38.453125" customWidth="1"/>
    <col min="13761" max="13761" width="0.81640625" customWidth="1"/>
    <col min="13763" max="13763" width="14.453125" customWidth="1"/>
    <col min="13764" max="13764" width="0.81640625" customWidth="1"/>
    <col min="13765" max="13765" width="10.7265625" customWidth="1"/>
    <col min="13768" max="13768" width="25.1796875" bestFit="1" customWidth="1"/>
    <col min="14015" max="14015" width="38.453125" customWidth="1"/>
    <col min="14017" max="14017" width="0.81640625" customWidth="1"/>
    <col min="14019" max="14019" width="14.453125" customWidth="1"/>
    <col min="14020" max="14020" width="0.81640625" customWidth="1"/>
    <col min="14021" max="14021" width="10.7265625" customWidth="1"/>
    <col min="14024" max="14024" width="25.1796875" bestFit="1" customWidth="1"/>
    <col min="14271" max="14271" width="38.453125" customWidth="1"/>
    <col min="14273" max="14273" width="0.81640625" customWidth="1"/>
    <col min="14275" max="14275" width="14.453125" customWidth="1"/>
    <col min="14276" max="14276" width="0.81640625" customWidth="1"/>
    <col min="14277" max="14277" width="10.7265625" customWidth="1"/>
    <col min="14280" max="14280" width="25.1796875" bestFit="1" customWidth="1"/>
    <col min="14527" max="14527" width="38.453125" customWidth="1"/>
    <col min="14529" max="14529" width="0.81640625" customWidth="1"/>
    <col min="14531" max="14531" width="14.453125" customWidth="1"/>
    <col min="14532" max="14532" width="0.81640625" customWidth="1"/>
    <col min="14533" max="14533" width="10.7265625" customWidth="1"/>
    <col min="14536" max="14536" width="25.1796875" bestFit="1" customWidth="1"/>
    <col min="14783" max="14783" width="38.453125" customWidth="1"/>
    <col min="14785" max="14785" width="0.81640625" customWidth="1"/>
    <col min="14787" max="14787" width="14.453125" customWidth="1"/>
    <col min="14788" max="14788" width="0.81640625" customWidth="1"/>
    <col min="14789" max="14789" width="10.7265625" customWidth="1"/>
    <col min="14792" max="14792" width="25.1796875" bestFit="1" customWidth="1"/>
    <col min="15039" max="15039" width="38.453125" customWidth="1"/>
    <col min="15041" max="15041" width="0.81640625" customWidth="1"/>
    <col min="15043" max="15043" width="14.453125" customWidth="1"/>
    <col min="15044" max="15044" width="0.81640625" customWidth="1"/>
    <col min="15045" max="15045" width="10.7265625" customWidth="1"/>
    <col min="15048" max="15048" width="25.1796875" bestFit="1" customWidth="1"/>
    <col min="15295" max="15295" width="38.453125" customWidth="1"/>
    <col min="15297" max="15297" width="0.81640625" customWidth="1"/>
    <col min="15299" max="15299" width="14.453125" customWidth="1"/>
    <col min="15300" max="15300" width="0.81640625" customWidth="1"/>
    <col min="15301" max="15301" width="10.7265625" customWidth="1"/>
    <col min="15304" max="15304" width="25.1796875" bestFit="1" customWidth="1"/>
    <col min="15551" max="15551" width="38.453125" customWidth="1"/>
    <col min="15553" max="15553" width="0.81640625" customWidth="1"/>
    <col min="15555" max="15555" width="14.453125" customWidth="1"/>
    <col min="15556" max="15556" width="0.81640625" customWidth="1"/>
    <col min="15557" max="15557" width="10.7265625" customWidth="1"/>
    <col min="15560" max="15560" width="25.1796875" bestFit="1" customWidth="1"/>
    <col min="15807" max="15807" width="38.453125" customWidth="1"/>
    <col min="15809" max="15809" width="0.81640625" customWidth="1"/>
    <col min="15811" max="15811" width="14.453125" customWidth="1"/>
    <col min="15812" max="15812" width="0.81640625" customWidth="1"/>
    <col min="15813" max="15813" width="10.7265625" customWidth="1"/>
    <col min="15816" max="15816" width="25.1796875" bestFit="1" customWidth="1"/>
    <col min="16063" max="16063" width="38.453125" customWidth="1"/>
    <col min="16065" max="16065" width="0.81640625" customWidth="1"/>
    <col min="16067" max="16067" width="14.453125" customWidth="1"/>
    <col min="16068" max="16068" width="0.81640625" customWidth="1"/>
    <col min="16069" max="16069" width="10.7265625" customWidth="1"/>
    <col min="16072" max="16072" width="25.1796875" bestFit="1" customWidth="1"/>
  </cols>
  <sheetData>
    <row r="1" spans="1:8" ht="12" customHeight="1"/>
    <row r="2" spans="1:8" ht="12" customHeight="1">
      <c r="H2" s="487"/>
    </row>
    <row r="3" spans="1:8" ht="24" customHeight="1"/>
    <row r="4" spans="1:8" s="242" customFormat="1" ht="17.25" customHeight="1">
      <c r="A4" s="241" t="s">
        <v>22</v>
      </c>
    </row>
    <row r="5" spans="1:8" s="242" customFormat="1" ht="12" customHeight="1">
      <c r="A5" s="660" t="s">
        <v>322</v>
      </c>
      <c r="B5" s="660"/>
      <c r="C5" s="660"/>
      <c r="D5" s="660"/>
      <c r="E5" s="660"/>
      <c r="F5" s="660"/>
      <c r="G5" s="660"/>
      <c r="H5" s="660"/>
    </row>
    <row r="6" spans="1:8" s="242" customFormat="1" ht="12" customHeight="1">
      <c r="A6" s="353" t="s">
        <v>189</v>
      </c>
    </row>
    <row r="7" spans="1:8" s="245" customFormat="1" ht="3" customHeight="1">
      <c r="A7" s="243"/>
      <c r="B7" s="244"/>
      <c r="C7" s="244"/>
      <c r="D7" s="244"/>
      <c r="E7" s="244"/>
      <c r="F7" s="244"/>
      <c r="G7" s="244"/>
      <c r="H7" s="244"/>
    </row>
    <row r="8" spans="1:8" s="245" customFormat="1" ht="12" customHeight="1">
      <c r="A8" s="661" t="s">
        <v>323</v>
      </c>
      <c r="B8" s="663" t="s">
        <v>324</v>
      </c>
      <c r="C8" s="664"/>
      <c r="D8" s="664"/>
      <c r="E8" s="664"/>
      <c r="F8" s="664"/>
      <c r="G8" s="578"/>
      <c r="H8" s="665" t="s">
        <v>325</v>
      </c>
    </row>
    <row r="9" spans="1:8" s="247" customFormat="1" ht="20.149999999999999" customHeight="1">
      <c r="A9" s="662"/>
      <c r="B9" s="246" t="s">
        <v>101</v>
      </c>
      <c r="C9" s="246"/>
      <c r="D9" s="246" t="s">
        <v>102</v>
      </c>
      <c r="E9" s="246"/>
      <c r="F9" s="283" t="s">
        <v>103</v>
      </c>
      <c r="G9" s="283"/>
      <c r="H9" s="666"/>
    </row>
    <row r="10" spans="1:8" s="249" customFormat="1" ht="3" customHeight="1">
      <c r="A10" s="667"/>
      <c r="B10" s="667"/>
      <c r="C10" s="667"/>
      <c r="D10" s="667"/>
      <c r="E10" s="667"/>
      <c r="F10" s="668"/>
      <c r="G10" s="248"/>
      <c r="H10" s="248"/>
    </row>
    <row r="11" spans="1:8" s="249" customFormat="1" ht="10" customHeight="1">
      <c r="A11" s="250"/>
      <c r="B11" s="669" t="s">
        <v>326</v>
      </c>
      <c r="C11" s="669"/>
      <c r="D11" s="669"/>
      <c r="E11" s="669"/>
      <c r="F11" s="669"/>
      <c r="G11" s="669"/>
      <c r="H11" s="669"/>
    </row>
    <row r="12" spans="1:8" s="249" customFormat="1" ht="3" customHeight="1">
      <c r="A12" s="250"/>
      <c r="B12" s="282"/>
      <c r="C12" s="282"/>
      <c r="D12" s="282"/>
      <c r="E12" s="282"/>
      <c r="F12" s="282"/>
      <c r="G12" s="282"/>
      <c r="H12" s="282"/>
    </row>
    <row r="13" spans="1:8" s="249" customFormat="1" ht="10" customHeight="1">
      <c r="A13" s="257"/>
      <c r="B13" s="670" t="s">
        <v>327</v>
      </c>
      <c r="C13" s="670"/>
      <c r="D13" s="670"/>
      <c r="E13" s="670"/>
      <c r="F13" s="670"/>
      <c r="G13" s="670"/>
      <c r="H13" s="670"/>
    </row>
    <row r="14" spans="1:8" s="249" customFormat="1" ht="3" customHeight="1">
      <c r="A14" s="250"/>
      <c r="B14" s="282"/>
      <c r="C14" s="282"/>
      <c r="D14" s="282"/>
      <c r="E14" s="282"/>
      <c r="F14" s="282"/>
      <c r="G14" s="282"/>
      <c r="H14" s="282"/>
    </row>
    <row r="15" spans="1:8" s="249" customFormat="1" ht="10" customHeight="1">
      <c r="A15" s="251" t="s">
        <v>328</v>
      </c>
      <c r="B15" s="252">
        <v>1132283</v>
      </c>
      <c r="C15" s="253"/>
      <c r="D15" s="252">
        <v>1070943</v>
      </c>
      <c r="E15" s="252"/>
      <c r="F15" s="252">
        <v>888014</v>
      </c>
      <c r="G15" s="254"/>
      <c r="H15" s="354">
        <v>19.194572263733484</v>
      </c>
    </row>
    <row r="16" spans="1:8" s="249" customFormat="1" ht="10" customHeight="1">
      <c r="A16" s="251" t="s">
        <v>329</v>
      </c>
      <c r="B16" s="252">
        <v>682987</v>
      </c>
      <c r="C16" s="253"/>
      <c r="D16" s="252">
        <v>627243</v>
      </c>
      <c r="E16" s="252"/>
      <c r="F16" s="252">
        <v>363229</v>
      </c>
      <c r="G16" s="254"/>
      <c r="H16" s="354">
        <v>11.578062486755114</v>
      </c>
    </row>
    <row r="17" spans="1:8" s="249" customFormat="1" ht="10" customHeight="1">
      <c r="A17" s="251" t="s">
        <v>330</v>
      </c>
      <c r="B17" s="252">
        <v>274506</v>
      </c>
      <c r="C17" s="254"/>
      <c r="D17" s="252">
        <v>324388</v>
      </c>
      <c r="E17" s="252"/>
      <c r="F17" s="252">
        <v>438116</v>
      </c>
      <c r="G17" s="254"/>
      <c r="H17" s="354">
        <v>4.6534525854653159</v>
      </c>
    </row>
    <row r="18" spans="1:8" s="249" customFormat="1" ht="10" customHeight="1">
      <c r="A18" s="251" t="s">
        <v>331</v>
      </c>
      <c r="B18" s="252">
        <v>40403</v>
      </c>
      <c r="C18" s="254"/>
      <c r="D18" s="252">
        <v>43942</v>
      </c>
      <c r="E18" s="252"/>
      <c r="F18" s="252">
        <v>59428</v>
      </c>
      <c r="G18" s="254"/>
      <c r="H18" s="354">
        <v>0.68491561135477963</v>
      </c>
    </row>
    <row r="19" spans="1:8" s="249" customFormat="1" ht="10" customHeight="1">
      <c r="A19" s="251" t="s">
        <v>332</v>
      </c>
      <c r="B19" s="252">
        <v>61035</v>
      </c>
      <c r="C19" s="254"/>
      <c r="D19" s="252">
        <v>57784</v>
      </c>
      <c r="E19" s="252"/>
      <c r="F19" s="252">
        <v>12230</v>
      </c>
      <c r="G19" s="254"/>
      <c r="H19" s="354">
        <v>1.0346712951770654</v>
      </c>
    </row>
    <row r="20" spans="1:8" s="249" customFormat="1" ht="10" customHeight="1">
      <c r="A20" s="251" t="s">
        <v>333</v>
      </c>
      <c r="B20" s="252">
        <v>15830</v>
      </c>
      <c r="C20" s="253"/>
      <c r="D20" s="252">
        <v>16084</v>
      </c>
      <c r="E20" s="252"/>
      <c r="F20" s="252">
        <v>33394</v>
      </c>
      <c r="G20" s="254"/>
      <c r="H20" s="354">
        <v>0.26835170971824274</v>
      </c>
    </row>
    <row r="21" spans="1:8" s="249" customFormat="1" ht="10" customHeight="1">
      <c r="A21" s="251" t="s">
        <v>334</v>
      </c>
      <c r="B21" s="252">
        <v>358</v>
      </c>
      <c r="C21" s="253"/>
      <c r="D21" s="252">
        <v>307</v>
      </c>
      <c r="E21" s="252"/>
      <c r="F21" s="252">
        <v>462</v>
      </c>
      <c r="G21" s="254"/>
      <c r="H21" s="354">
        <v>6.0688510473234933E-3</v>
      </c>
    </row>
    <row r="22" spans="1:8" s="249" customFormat="1" ht="3" customHeight="1">
      <c r="A22" s="251"/>
      <c r="B22" s="256"/>
      <c r="C22" s="256"/>
      <c r="D22" s="256"/>
      <c r="E22" s="256"/>
      <c r="F22" s="256"/>
      <c r="G22" s="256"/>
      <c r="H22" s="256"/>
    </row>
    <row r="23" spans="1:8" s="249" customFormat="1" ht="10" customHeight="1">
      <c r="B23" s="669" t="s">
        <v>335</v>
      </c>
      <c r="C23" s="669"/>
      <c r="D23" s="669"/>
      <c r="E23" s="669"/>
      <c r="F23" s="669"/>
      <c r="G23" s="669"/>
      <c r="H23" s="669"/>
    </row>
    <row r="24" spans="1:8" s="249" customFormat="1" ht="3" customHeight="1">
      <c r="A24" s="251"/>
      <c r="B24" s="256"/>
      <c r="C24" s="256"/>
      <c r="D24" s="256"/>
      <c r="E24" s="256"/>
      <c r="F24" s="256"/>
      <c r="G24" s="256"/>
      <c r="H24" s="256"/>
    </row>
    <row r="25" spans="1:8" s="249" customFormat="1" ht="10" customHeight="1">
      <c r="A25" s="251" t="s">
        <v>336</v>
      </c>
      <c r="B25" s="252">
        <v>81897</v>
      </c>
      <c r="C25" s="253"/>
      <c r="D25" s="252">
        <v>112566</v>
      </c>
      <c r="E25" s="252"/>
      <c r="F25" s="252">
        <v>188503</v>
      </c>
      <c r="G25" s="254"/>
      <c r="H25" s="354">
        <v>1.3883259615157881</v>
      </c>
    </row>
    <row r="26" spans="1:8" s="249" customFormat="1" ht="10" customHeight="1">
      <c r="A26" s="251" t="s">
        <v>337</v>
      </c>
      <c r="B26" s="252">
        <v>454</v>
      </c>
      <c r="C26" s="253"/>
      <c r="D26" s="252">
        <v>495</v>
      </c>
      <c r="E26" s="252"/>
      <c r="F26" s="252">
        <v>419</v>
      </c>
      <c r="G26" s="254"/>
      <c r="H26" s="354">
        <v>7.6962524454884523E-3</v>
      </c>
    </row>
    <row r="27" spans="1:8" s="249" customFormat="1" ht="10" customHeight="1">
      <c r="A27" s="251" t="s">
        <v>330</v>
      </c>
      <c r="B27" s="252">
        <v>2438</v>
      </c>
      <c r="C27" s="253"/>
      <c r="D27" s="252">
        <v>2887</v>
      </c>
      <c r="E27" s="252"/>
      <c r="F27" s="252">
        <v>2303</v>
      </c>
      <c r="G27" s="254"/>
      <c r="H27" s="354">
        <v>4.1329214674230945E-2</v>
      </c>
    </row>
    <row r="28" spans="1:8" s="249" customFormat="1" ht="10" customHeight="1">
      <c r="A28" s="251"/>
      <c r="B28" s="252"/>
      <c r="C28" s="253"/>
      <c r="D28" s="252"/>
      <c r="E28" s="252"/>
      <c r="F28" s="252"/>
      <c r="G28" s="254"/>
      <c r="H28" s="354"/>
    </row>
    <row r="29" spans="1:8" s="249" customFormat="1" ht="10" customHeight="1">
      <c r="A29" s="251" t="s">
        <v>59</v>
      </c>
      <c r="B29" s="252">
        <v>43109</v>
      </c>
      <c r="C29" s="253"/>
      <c r="D29" s="252">
        <v>47659</v>
      </c>
      <c r="E29" s="252"/>
      <c r="F29" s="252">
        <v>10488</v>
      </c>
      <c r="G29" s="248"/>
      <c r="H29" s="354">
        <v>0.73078798826555447</v>
      </c>
    </row>
    <row r="30" spans="1:8" s="249" customFormat="1" ht="3" customHeight="1">
      <c r="A30" s="251"/>
      <c r="B30" s="256"/>
      <c r="C30" s="256"/>
      <c r="D30" s="256"/>
      <c r="E30" s="256"/>
      <c r="F30" s="256"/>
      <c r="G30" s="256"/>
      <c r="H30" s="255"/>
    </row>
    <row r="31" spans="1:8" s="249" customFormat="1" ht="10" customHeight="1">
      <c r="B31" s="669" t="s">
        <v>338</v>
      </c>
      <c r="C31" s="669"/>
      <c r="D31" s="669"/>
      <c r="E31" s="669"/>
      <c r="F31" s="669"/>
      <c r="G31" s="669"/>
      <c r="H31" s="669"/>
    </row>
    <row r="32" spans="1:8" s="249" customFormat="1" ht="3" customHeight="1">
      <c r="A32" s="251" t="s">
        <v>339</v>
      </c>
      <c r="B32" s="256"/>
      <c r="C32" s="256"/>
      <c r="D32" s="256"/>
      <c r="E32" s="256"/>
      <c r="F32" s="256"/>
      <c r="G32" s="256"/>
      <c r="H32" s="256"/>
    </row>
    <row r="33" spans="1:8" s="249" customFormat="1" ht="10" customHeight="1">
      <c r="A33" s="251" t="s">
        <v>340</v>
      </c>
      <c r="B33" s="252">
        <v>39616</v>
      </c>
      <c r="C33" s="253"/>
      <c r="D33" s="252">
        <v>36992</v>
      </c>
      <c r="E33" s="252"/>
      <c r="F33" s="252">
        <v>20861</v>
      </c>
      <c r="G33" s="254"/>
      <c r="H33" s="354">
        <v>0.67157431030940651</v>
      </c>
    </row>
    <row r="34" spans="1:8" s="249" customFormat="1" ht="10" customHeight="1">
      <c r="A34" s="251" t="s">
        <v>341</v>
      </c>
      <c r="B34" s="252">
        <v>36108</v>
      </c>
      <c r="C34" s="253"/>
      <c r="D34" s="252">
        <v>34084</v>
      </c>
      <c r="E34" s="252"/>
      <c r="F34" s="252">
        <v>42883</v>
      </c>
      <c r="G34" s="254"/>
      <c r="H34" s="354">
        <v>0.61210635088479526</v>
      </c>
    </row>
    <row r="35" spans="1:8" s="249" customFormat="1" ht="10" customHeight="1">
      <c r="A35" s="251" t="s">
        <v>342</v>
      </c>
      <c r="B35" s="252">
        <v>3056</v>
      </c>
      <c r="C35" s="253"/>
      <c r="D35" s="252">
        <v>3107</v>
      </c>
      <c r="E35" s="252"/>
      <c r="F35" s="252">
        <v>3939</v>
      </c>
      <c r="G35" s="254"/>
      <c r="H35" s="354">
        <v>5.1805611174917866E-2</v>
      </c>
    </row>
    <row r="36" spans="1:8" s="245" customFormat="1" ht="10" customHeight="1">
      <c r="A36" s="251" t="s">
        <v>343</v>
      </c>
      <c r="B36" s="252">
        <v>1197</v>
      </c>
      <c r="C36" s="258"/>
      <c r="D36" s="252">
        <v>1437</v>
      </c>
      <c r="E36" s="252"/>
      <c r="F36" s="252">
        <v>874</v>
      </c>
      <c r="G36" s="248"/>
      <c r="H36" s="354">
        <v>2.0291661183369336E-2</v>
      </c>
    </row>
    <row r="37" spans="1:8" s="245" customFormat="1" ht="3" customHeight="1">
      <c r="A37" s="259"/>
      <c r="B37" s="259"/>
      <c r="C37" s="259"/>
      <c r="D37" s="259"/>
      <c r="E37" s="259"/>
      <c r="F37" s="259"/>
      <c r="G37" s="259"/>
      <c r="H37" s="259"/>
    </row>
    <row r="38" spans="1:8" s="245" customFormat="1" ht="3" customHeight="1">
      <c r="A38" s="243"/>
      <c r="B38" s="243"/>
      <c r="C38" s="243"/>
      <c r="D38" s="243"/>
      <c r="E38" s="243"/>
      <c r="F38" s="243"/>
      <c r="G38" s="243"/>
      <c r="H38" s="243"/>
    </row>
    <row r="39" spans="1:8" s="245" customFormat="1" ht="19.5" customHeight="1">
      <c r="A39" s="671" t="s">
        <v>344</v>
      </c>
      <c r="B39" s="671"/>
      <c r="C39" s="671"/>
      <c r="D39" s="671"/>
      <c r="E39" s="671"/>
      <c r="F39" s="671"/>
      <c r="G39" s="671"/>
      <c r="H39" s="671"/>
    </row>
    <row r="40" spans="1:8" ht="20.149999999999999" customHeight="1">
      <c r="A40" s="658" t="s">
        <v>345</v>
      </c>
      <c r="B40" s="658"/>
      <c r="C40" s="658"/>
      <c r="D40" s="658"/>
      <c r="E40" s="658"/>
      <c r="F40" s="658"/>
      <c r="G40" s="658"/>
      <c r="H40" s="658"/>
    </row>
    <row r="41" spans="1:8" ht="10" customHeight="1">
      <c r="A41" s="658" t="s">
        <v>346</v>
      </c>
      <c r="B41" s="658"/>
      <c r="C41" s="658"/>
      <c r="D41" s="658"/>
      <c r="E41" s="658"/>
      <c r="F41" s="658"/>
      <c r="G41" s="658"/>
      <c r="H41" s="658"/>
    </row>
    <row r="42" spans="1:8" ht="10" customHeight="1">
      <c r="A42" s="622" t="s">
        <v>347</v>
      </c>
      <c r="B42" s="659"/>
      <c r="C42" s="659"/>
      <c r="D42" s="659"/>
      <c r="E42" s="659"/>
      <c r="F42" s="659"/>
      <c r="G42" s="659"/>
      <c r="H42" s="659"/>
    </row>
    <row r="44" spans="1:8" ht="15" customHeight="1">
      <c r="A44" s="350"/>
    </row>
    <row r="46" spans="1:8">
      <c r="B46" s="480"/>
    </row>
    <row r="47" spans="1:8">
      <c r="B47" s="480"/>
      <c r="D47" s="494"/>
    </row>
    <row r="48" spans="1:8">
      <c r="B48" s="480"/>
      <c r="D48" s="494"/>
    </row>
    <row r="49" spans="2:4">
      <c r="B49" s="480"/>
      <c r="D49" s="494"/>
    </row>
  </sheetData>
  <mergeCells count="13">
    <mergeCell ref="A41:H41"/>
    <mergeCell ref="A42:H42"/>
    <mergeCell ref="A5:H5"/>
    <mergeCell ref="A8:A9"/>
    <mergeCell ref="B8:F8"/>
    <mergeCell ref="H8:H9"/>
    <mergeCell ref="A10:F10"/>
    <mergeCell ref="B11:H11"/>
    <mergeCell ref="B13:H13"/>
    <mergeCell ref="B23:H23"/>
    <mergeCell ref="B31:H31"/>
    <mergeCell ref="A39:H39"/>
    <mergeCell ref="A40:H40"/>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E21BB-18C4-4C62-87B3-E9FBCCFE8F5A}">
  <dimension ref="A1:Q46"/>
  <sheetViews>
    <sheetView zoomScaleNormal="100" workbookViewId="0">
      <selection activeCell="A4" sqref="A4:E4"/>
    </sheetView>
  </sheetViews>
  <sheetFormatPr defaultRowHeight="14.5"/>
  <cols>
    <col min="1" max="1" width="10.453125" customWidth="1"/>
    <col min="2" max="2" width="0.81640625" customWidth="1"/>
    <col min="3" max="5" width="21.7265625" customWidth="1"/>
    <col min="6" max="6" width="9.1796875" customWidth="1"/>
  </cols>
  <sheetData>
    <row r="1" spans="1:9" ht="12.75" customHeight="1"/>
    <row r="2" spans="1:9" ht="12.75" customHeight="1"/>
    <row r="3" spans="1:9" ht="12.75" customHeight="1"/>
    <row r="4" spans="1:9" ht="12" customHeight="1">
      <c r="A4" s="674" t="s">
        <v>348</v>
      </c>
      <c r="B4" s="674"/>
      <c r="C4" s="675"/>
      <c r="D4" s="675"/>
      <c r="E4" s="675"/>
    </row>
    <row r="5" spans="1:9" ht="12" customHeight="1">
      <c r="A5" s="436" t="s">
        <v>11</v>
      </c>
      <c r="B5" s="418"/>
      <c r="C5" s="492"/>
      <c r="D5" s="492"/>
      <c r="E5" s="492"/>
    </row>
    <row r="6" spans="1:9" ht="6" customHeight="1">
      <c r="A6" s="358"/>
      <c r="B6" s="358"/>
      <c r="C6" s="359"/>
      <c r="D6" s="359"/>
      <c r="E6" s="359"/>
    </row>
    <row r="7" spans="1:9" ht="12" customHeight="1">
      <c r="A7" s="676" t="s">
        <v>349</v>
      </c>
      <c r="B7" s="579"/>
      <c r="C7" s="678" t="s">
        <v>350</v>
      </c>
      <c r="D7" s="678"/>
      <c r="E7" s="678"/>
    </row>
    <row r="8" spans="1:9" ht="12" customHeight="1">
      <c r="A8" s="677"/>
      <c r="B8" s="493"/>
      <c r="C8" s="574" t="s">
        <v>101</v>
      </c>
      <c r="D8" s="574" t="s">
        <v>102</v>
      </c>
      <c r="E8" s="580" t="s">
        <v>103</v>
      </c>
    </row>
    <row r="9" spans="1:9" ht="6" customHeight="1">
      <c r="A9" s="364"/>
      <c r="B9" s="364"/>
      <c r="C9" s="364"/>
      <c r="D9" s="364"/>
      <c r="E9" s="364"/>
    </row>
    <row r="10" spans="1:9" ht="12" customHeight="1">
      <c r="A10" s="672" t="s">
        <v>351</v>
      </c>
      <c r="B10" s="672"/>
      <c r="C10" s="672"/>
      <c r="D10" s="672"/>
      <c r="E10" s="672"/>
    </row>
    <row r="11" spans="1:9" ht="6" customHeight="1">
      <c r="A11" s="364"/>
      <c r="B11" s="364"/>
      <c r="C11" s="364"/>
      <c r="D11" s="364"/>
      <c r="E11" s="364"/>
    </row>
    <row r="12" spans="1:9" ht="9" customHeight="1">
      <c r="A12" s="365" t="s">
        <v>352</v>
      </c>
      <c r="B12" s="365"/>
      <c r="C12" s="367">
        <v>702</v>
      </c>
      <c r="D12" s="367">
        <v>709</v>
      </c>
      <c r="E12" s="366">
        <v>230</v>
      </c>
      <c r="G12" s="367"/>
      <c r="H12" s="367"/>
      <c r="I12" s="366"/>
    </row>
    <row r="13" spans="1:9" ht="9" customHeight="1">
      <c r="A13" s="369" t="s">
        <v>353</v>
      </c>
      <c r="B13" s="365"/>
      <c r="C13" s="367">
        <v>487</v>
      </c>
      <c r="D13" s="367">
        <v>448</v>
      </c>
      <c r="E13" s="366">
        <v>268</v>
      </c>
      <c r="G13" s="367"/>
      <c r="H13" s="367"/>
      <c r="I13" s="366"/>
    </row>
    <row r="14" spans="1:9" ht="9" customHeight="1">
      <c r="A14" s="365" t="s">
        <v>86</v>
      </c>
      <c r="B14" s="365"/>
      <c r="C14" s="367">
        <v>586</v>
      </c>
      <c r="D14" s="367">
        <v>565</v>
      </c>
      <c r="E14" s="366">
        <v>251</v>
      </c>
      <c r="G14" s="367"/>
      <c r="H14" s="367"/>
      <c r="I14" s="366"/>
    </row>
    <row r="15" spans="1:9" ht="9" customHeight="1">
      <c r="A15" s="368" t="s">
        <v>58</v>
      </c>
      <c r="B15" s="368"/>
      <c r="C15" s="438">
        <v>1775</v>
      </c>
      <c r="D15" s="438">
        <v>1722</v>
      </c>
      <c r="E15" s="438">
        <v>749</v>
      </c>
      <c r="G15" s="438"/>
      <c r="H15" s="438"/>
      <c r="I15" s="438"/>
    </row>
    <row r="16" spans="1:9" ht="6" customHeight="1"/>
    <row r="17" spans="1:6" ht="12" customHeight="1">
      <c r="A17" s="679" t="s">
        <v>354</v>
      </c>
      <c r="B17" s="672"/>
      <c r="C17" s="672"/>
      <c r="D17" s="672"/>
      <c r="E17" s="672"/>
    </row>
    <row r="18" spans="1:6" ht="6" customHeight="1"/>
    <row r="19" spans="1:6" ht="9" customHeight="1">
      <c r="A19" s="369" t="s">
        <v>352</v>
      </c>
      <c r="B19" s="369"/>
      <c r="C19" s="367">
        <v>694</v>
      </c>
      <c r="D19" s="367">
        <v>672</v>
      </c>
      <c r="E19" s="366">
        <v>139</v>
      </c>
    </row>
    <row r="20" spans="1:6" ht="9" customHeight="1">
      <c r="A20" s="365" t="s">
        <v>83</v>
      </c>
      <c r="B20" s="365"/>
      <c r="C20" s="367">
        <v>432</v>
      </c>
      <c r="D20" s="367">
        <v>421</v>
      </c>
      <c r="E20" s="366">
        <v>42</v>
      </c>
    </row>
    <row r="21" spans="1:6" ht="9" customHeight="1">
      <c r="A21" s="365" t="s">
        <v>86</v>
      </c>
      <c r="B21" s="365"/>
      <c r="C21" s="367">
        <v>502</v>
      </c>
      <c r="D21" s="367">
        <v>456</v>
      </c>
      <c r="E21" s="366">
        <v>101</v>
      </c>
    </row>
    <row r="22" spans="1:6" ht="9" customHeight="1">
      <c r="A22" s="368" t="s">
        <v>58</v>
      </c>
      <c r="B22" s="368"/>
      <c r="C22" s="438">
        <f>SUM(C19:C21)</f>
        <v>1628</v>
      </c>
      <c r="D22" s="438">
        <f t="shared" ref="D22" si="0">SUM(D19:D21)</f>
        <v>1549</v>
      </c>
      <c r="E22" s="438">
        <f>SUM(E19:E21)</f>
        <v>282</v>
      </c>
    </row>
    <row r="23" spans="1:6" ht="6" customHeight="1"/>
    <row r="24" spans="1:6" ht="12" customHeight="1">
      <c r="A24" s="672" t="s">
        <v>355</v>
      </c>
      <c r="B24" s="672"/>
      <c r="C24" s="672"/>
      <c r="D24" s="672"/>
      <c r="E24" s="672"/>
    </row>
    <row r="25" spans="1:6" ht="6" customHeight="1"/>
    <row r="26" spans="1:6" ht="9" customHeight="1">
      <c r="A26" s="365" t="s">
        <v>352</v>
      </c>
      <c r="B26" s="365"/>
      <c r="C26" s="499">
        <v>63</v>
      </c>
      <c r="D26" s="499">
        <v>60</v>
      </c>
      <c r="E26" s="499">
        <v>36</v>
      </c>
    </row>
    <row r="27" spans="1:6" ht="9" customHeight="1">
      <c r="A27" s="365" t="s">
        <v>83</v>
      </c>
      <c r="B27" s="365"/>
      <c r="C27" s="499">
        <v>42</v>
      </c>
      <c r="D27" s="499">
        <v>87</v>
      </c>
      <c r="E27" s="499">
        <v>21</v>
      </c>
    </row>
    <row r="28" spans="1:6" ht="9" customHeight="1">
      <c r="A28" s="365" t="s">
        <v>86</v>
      </c>
      <c r="B28" s="365"/>
      <c r="C28" s="499">
        <v>58</v>
      </c>
      <c r="D28" s="499">
        <v>82</v>
      </c>
      <c r="E28" s="499">
        <v>82</v>
      </c>
    </row>
    <row r="29" spans="1:6" ht="9" customHeight="1">
      <c r="A29" s="368" t="s">
        <v>58</v>
      </c>
      <c r="B29" s="368"/>
      <c r="C29" s="438">
        <f>SUM(C26:C28)</f>
        <v>163</v>
      </c>
      <c r="D29" s="438">
        <f t="shared" ref="D29:E29" si="1">SUM(D26:D28)</f>
        <v>229</v>
      </c>
      <c r="E29" s="438">
        <f t="shared" si="1"/>
        <v>139</v>
      </c>
    </row>
    <row r="30" spans="1:6" ht="6" customHeight="1"/>
    <row r="31" spans="1:6" ht="12" customHeight="1">
      <c r="A31" s="672" t="s">
        <v>356</v>
      </c>
      <c r="B31" s="672"/>
      <c r="C31" s="672"/>
      <c r="D31" s="672"/>
      <c r="E31" s="672"/>
      <c r="F31" s="213"/>
    </row>
    <row r="32" spans="1:6" ht="6" customHeight="1">
      <c r="A32" s="439"/>
      <c r="B32" s="439"/>
      <c r="C32" s="439"/>
      <c r="D32" s="439"/>
      <c r="E32" s="439"/>
      <c r="F32" s="213"/>
    </row>
    <row r="33" spans="1:17" ht="10" customHeight="1">
      <c r="A33" s="370" t="s">
        <v>83</v>
      </c>
      <c r="B33" s="370"/>
      <c r="C33" s="173">
        <v>113</v>
      </c>
      <c r="D33" s="173">
        <v>115</v>
      </c>
      <c r="E33" s="173">
        <v>49</v>
      </c>
    </row>
    <row r="34" spans="1:17" ht="10" customHeight="1">
      <c r="A34" s="368" t="s">
        <v>58</v>
      </c>
      <c r="B34" s="370"/>
      <c r="C34" s="372">
        <f>SUM(C33)</f>
        <v>113</v>
      </c>
      <c r="D34" s="372">
        <f t="shared" ref="D34:E34" si="2">SUM(D33)</f>
        <v>115</v>
      </c>
      <c r="E34" s="372">
        <f t="shared" si="2"/>
        <v>49</v>
      </c>
    </row>
    <row r="35" spans="1:17" ht="6" customHeight="1">
      <c r="A35" s="355"/>
      <c r="B35" s="355"/>
      <c r="C35" s="356"/>
      <c r="D35" s="356"/>
      <c r="E35" s="357"/>
    </row>
    <row r="36" spans="1:17" ht="3" customHeight="1">
      <c r="A36" s="360"/>
      <c r="B36" s="360"/>
      <c r="C36" s="361"/>
      <c r="D36" s="361"/>
      <c r="E36" s="362"/>
    </row>
    <row r="37" spans="1:17" ht="12" customHeight="1">
      <c r="A37" s="671" t="s">
        <v>357</v>
      </c>
      <c r="B37" s="671"/>
      <c r="C37" s="671"/>
      <c r="D37" s="671"/>
      <c r="E37" s="671"/>
      <c r="F37" s="671"/>
      <c r="G37" s="671"/>
      <c r="H37" s="671"/>
    </row>
    <row r="38" spans="1:17" ht="20.149999999999999" customHeight="1">
      <c r="A38" s="673" t="s">
        <v>358</v>
      </c>
      <c r="B38" s="673"/>
      <c r="C38" s="673"/>
      <c r="D38" s="673"/>
      <c r="E38" s="673"/>
      <c r="F38" s="551"/>
      <c r="G38" s="551"/>
      <c r="H38" s="551"/>
      <c r="I38" s="551"/>
      <c r="J38" s="551"/>
      <c r="K38" s="551"/>
      <c r="L38" s="551"/>
      <c r="M38" s="551"/>
      <c r="N38" s="551"/>
      <c r="O38" s="551"/>
      <c r="P38" s="551"/>
      <c r="Q38" s="551"/>
    </row>
    <row r="46" spans="1:17">
      <c r="A46" s="350"/>
      <c r="B46" s="350"/>
    </row>
  </sheetData>
  <mergeCells count="9">
    <mergeCell ref="A31:E31"/>
    <mergeCell ref="A37:H37"/>
    <mergeCell ref="A38:E38"/>
    <mergeCell ref="A4:E4"/>
    <mergeCell ref="A7:A8"/>
    <mergeCell ref="C7:E7"/>
    <mergeCell ref="A10:E10"/>
    <mergeCell ref="A17:E17"/>
    <mergeCell ref="A24:E24"/>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61"/>
  <sheetViews>
    <sheetView zoomScaleNormal="100" workbookViewId="0">
      <selection activeCell="A4" sqref="A4:E4"/>
    </sheetView>
  </sheetViews>
  <sheetFormatPr defaultRowHeight="14.5"/>
  <cols>
    <col min="1" max="1" width="33.1796875" customWidth="1"/>
    <col min="2" max="2" width="0.81640625" customWidth="1"/>
    <col min="3" max="3" width="7.453125" customWidth="1"/>
    <col min="4" max="4" width="6.7265625" customWidth="1"/>
    <col min="5" max="5" width="0.81640625" customWidth="1"/>
    <col min="6" max="6" width="7.7265625" bestFit="1" customWidth="1"/>
    <col min="7" max="7" width="5.7265625" customWidth="1"/>
    <col min="8" max="8" width="0.81640625" customWidth="1"/>
    <col min="9" max="9" width="7.7265625" bestFit="1" customWidth="1"/>
    <col min="10" max="10" width="5.7265625" customWidth="1"/>
    <col min="11" max="11" width="0.81640625" customWidth="1"/>
    <col min="12" max="12" width="5.7265625" customWidth="1"/>
    <col min="13" max="13" width="7.7265625" bestFit="1" customWidth="1"/>
    <col min="14" max="14" width="5.7265625" customWidth="1"/>
  </cols>
  <sheetData>
    <row r="1" spans="1:14" ht="12.75" customHeight="1"/>
    <row r="2" spans="1:14" ht="12.75" customHeight="1"/>
    <row r="3" spans="1:14" ht="12.75" customHeight="1"/>
    <row r="4" spans="1:14" ht="12.75" customHeight="1">
      <c r="A4" s="674" t="s">
        <v>359</v>
      </c>
      <c r="B4" s="674"/>
      <c r="C4" s="674"/>
      <c r="D4" s="674"/>
      <c r="E4" s="674"/>
    </row>
    <row r="5" spans="1:14" ht="12.75" customHeight="1">
      <c r="A5" s="436" t="s">
        <v>11</v>
      </c>
      <c r="B5" s="418"/>
      <c r="C5" s="418"/>
      <c r="D5" s="418"/>
      <c r="E5" s="418"/>
    </row>
    <row r="6" spans="1:14" ht="6" customHeight="1">
      <c r="A6" s="348"/>
      <c r="B6" s="348"/>
      <c r="C6" s="348"/>
      <c r="D6" s="348"/>
      <c r="E6" s="348"/>
      <c r="F6" s="213"/>
      <c r="G6" s="213"/>
      <c r="H6" s="213"/>
      <c r="I6" s="213"/>
    </row>
    <row r="7" spans="1:14" ht="12" customHeight="1">
      <c r="A7" s="676" t="s">
        <v>360</v>
      </c>
      <c r="B7" s="579"/>
      <c r="C7" s="682" t="s">
        <v>361</v>
      </c>
      <c r="D7" s="682"/>
      <c r="E7" s="682"/>
      <c r="F7" s="682"/>
      <c r="G7" s="682"/>
      <c r="H7" s="682"/>
      <c r="I7" s="682"/>
      <c r="J7" s="682"/>
      <c r="K7" s="581"/>
      <c r="L7" s="683" t="s">
        <v>58</v>
      </c>
      <c r="M7" s="683"/>
    </row>
    <row r="8" spans="1:14" ht="12" customHeight="1">
      <c r="A8" s="628"/>
      <c r="B8" s="363"/>
      <c r="C8" s="684" t="s">
        <v>352</v>
      </c>
      <c r="D8" s="684"/>
      <c r="E8" s="390"/>
      <c r="F8" s="684" t="s">
        <v>83</v>
      </c>
      <c r="G8" s="684"/>
      <c r="H8" s="213"/>
      <c r="I8" s="684" t="s">
        <v>86</v>
      </c>
      <c r="J8" s="684"/>
      <c r="L8" s="681"/>
      <c r="M8" s="681"/>
    </row>
    <row r="9" spans="1:14" ht="20.149999999999999" customHeight="1">
      <c r="A9" s="681"/>
      <c r="B9" s="385"/>
      <c r="C9" s="582" t="s">
        <v>362</v>
      </c>
      <c r="D9" s="401" t="s">
        <v>363</v>
      </c>
      <c r="E9" s="387"/>
      <c r="F9" s="582" t="s">
        <v>362</v>
      </c>
      <c r="G9" s="401" t="s">
        <v>363</v>
      </c>
      <c r="H9" s="408"/>
      <c r="I9" s="582" t="s">
        <v>362</v>
      </c>
      <c r="J9" s="401" t="s">
        <v>363</v>
      </c>
      <c r="K9" s="348"/>
      <c r="L9" s="401" t="s">
        <v>362</v>
      </c>
      <c r="M9" s="401" t="s">
        <v>363</v>
      </c>
    </row>
    <row r="10" spans="1:14" ht="5.15" customHeight="1">
      <c r="A10" s="351"/>
      <c r="B10" s="351"/>
      <c r="E10" s="351"/>
      <c r="G10" s="213"/>
      <c r="H10" s="213"/>
      <c r="L10" s="352"/>
    </row>
    <row r="11" spans="1:14" ht="9" customHeight="1">
      <c r="A11" s="374" t="s">
        <v>364</v>
      </c>
      <c r="B11" s="374"/>
      <c r="C11" s="405">
        <v>8</v>
      </c>
      <c r="D11" s="402">
        <f>C11/$C$39*100</f>
        <v>0.96501809408926409</v>
      </c>
      <c r="E11" s="335"/>
      <c r="F11" s="405">
        <v>7</v>
      </c>
      <c r="G11" s="402">
        <f>F11/$F$39*100</f>
        <v>1.2939001848428837</v>
      </c>
      <c r="H11" s="375"/>
      <c r="I11" s="405">
        <v>4</v>
      </c>
      <c r="J11" s="402">
        <f>I11/$I$39*100</f>
        <v>0.5486968449931412</v>
      </c>
      <c r="K11" s="375"/>
      <c r="L11" s="405">
        <f>C11+F11+I11</f>
        <v>19</v>
      </c>
      <c r="M11" s="402">
        <f>L11/$L$39*100</f>
        <v>0.90519294902334446</v>
      </c>
      <c r="N11" s="402"/>
    </row>
    <row r="12" spans="1:14" ht="6" customHeight="1">
      <c r="A12" s="374"/>
      <c r="B12" s="374"/>
      <c r="E12" s="335"/>
      <c r="F12" s="405"/>
      <c r="H12" s="375"/>
      <c r="I12" s="405"/>
      <c r="K12" s="375"/>
      <c r="L12" s="405"/>
      <c r="N12" s="402"/>
    </row>
    <row r="13" spans="1:14" ht="9" customHeight="1">
      <c r="A13" s="374" t="s">
        <v>365</v>
      </c>
      <c r="B13" s="374"/>
      <c r="C13" s="409">
        <v>77</v>
      </c>
      <c r="D13" s="402">
        <f>C13/$C$39*100</f>
        <v>9.2882991556091667</v>
      </c>
      <c r="E13" s="335"/>
      <c r="F13" s="405">
        <v>91</v>
      </c>
      <c r="G13" s="402">
        <f>F13/$F$39*100</f>
        <v>16.820702402957487</v>
      </c>
      <c r="H13" s="375"/>
      <c r="I13" s="405">
        <v>64</v>
      </c>
      <c r="J13" s="402">
        <f>I13/$I$39*100</f>
        <v>8.7791495198902592</v>
      </c>
      <c r="K13" s="375"/>
      <c r="L13" s="405">
        <f>C13+F13+I13</f>
        <v>232</v>
      </c>
      <c r="M13" s="402">
        <f>L13/$L$39*100</f>
        <v>11.052882324916627</v>
      </c>
      <c r="N13" s="402"/>
    </row>
    <row r="14" spans="1:14" ht="9" customHeight="1">
      <c r="A14" s="374" t="s">
        <v>273</v>
      </c>
      <c r="B14" s="374"/>
      <c r="C14" s="409"/>
      <c r="D14" s="402"/>
      <c r="E14" s="335"/>
      <c r="F14" s="405"/>
      <c r="G14" s="402"/>
      <c r="H14" s="375"/>
      <c r="I14" s="405"/>
      <c r="J14" s="402"/>
      <c r="K14" s="375"/>
      <c r="L14" s="405"/>
      <c r="M14" s="402"/>
      <c r="N14" s="403"/>
    </row>
    <row r="15" spans="1:14" ht="9" customHeight="1">
      <c r="A15" s="376" t="s">
        <v>366</v>
      </c>
      <c r="B15" s="376"/>
      <c r="C15" s="410">
        <v>28</v>
      </c>
      <c r="D15" s="403">
        <f>C15/$C$39*100</f>
        <v>3.3775633293124248</v>
      </c>
      <c r="E15" s="388"/>
      <c r="F15" s="406">
        <v>26</v>
      </c>
      <c r="G15" s="403">
        <f>F15/$F$39*100</f>
        <v>4.805914972273567</v>
      </c>
      <c r="H15" s="375"/>
      <c r="I15" s="406">
        <v>43</v>
      </c>
      <c r="J15" s="403">
        <f>I15/$I$39*100</f>
        <v>5.8984910836762685</v>
      </c>
      <c r="K15" s="377"/>
      <c r="L15" s="406">
        <f>C15+F15+I15</f>
        <v>97</v>
      </c>
      <c r="M15" s="403">
        <f>L15/$L$39*100</f>
        <v>4.6212482134349688</v>
      </c>
      <c r="N15" s="403"/>
    </row>
    <row r="16" spans="1:14" ht="9" customHeight="1">
      <c r="A16" s="376" t="s">
        <v>367</v>
      </c>
      <c r="B16" s="376"/>
      <c r="C16" s="410">
        <v>17</v>
      </c>
      <c r="D16" s="403">
        <f t="shared" ref="D16:D19" si="0">C16/$C$39*100</f>
        <v>2.0506634499396865</v>
      </c>
      <c r="E16" s="388"/>
      <c r="F16" s="406">
        <v>31</v>
      </c>
      <c r="G16" s="403">
        <f t="shared" ref="G16:G18" si="1">F16/$F$39*100</f>
        <v>5.730129390018484</v>
      </c>
      <c r="H16" s="375"/>
      <c r="I16" s="406">
        <v>8</v>
      </c>
      <c r="J16" s="403">
        <f t="shared" ref="J16:J19" si="2">I16/$I$39*100</f>
        <v>1.0973936899862824</v>
      </c>
      <c r="K16" s="377"/>
      <c r="L16" s="406">
        <f>C16+F16+I16</f>
        <v>56</v>
      </c>
      <c r="M16" s="403">
        <f t="shared" ref="M16:M18" si="3">L16/$L$39*100</f>
        <v>2.6679371129109097</v>
      </c>
      <c r="N16" s="403"/>
    </row>
    <row r="17" spans="1:14" ht="9" customHeight="1">
      <c r="A17" s="376" t="s">
        <v>368</v>
      </c>
      <c r="B17" s="376"/>
      <c r="C17" s="410">
        <v>6</v>
      </c>
      <c r="D17" s="403">
        <f t="shared" si="0"/>
        <v>0.72376357056694818</v>
      </c>
      <c r="E17" s="388"/>
      <c r="F17" s="406">
        <v>8</v>
      </c>
      <c r="G17" s="403">
        <f t="shared" si="1"/>
        <v>1.478743068391867</v>
      </c>
      <c r="H17" s="375"/>
      <c r="I17" s="406">
        <v>3</v>
      </c>
      <c r="J17" s="403">
        <f t="shared" si="2"/>
        <v>0.41152263374485598</v>
      </c>
      <c r="K17" s="377"/>
      <c r="L17" s="406">
        <f>C17+F17+I17</f>
        <v>17</v>
      </c>
      <c r="M17" s="403">
        <f t="shared" si="3"/>
        <v>0.80990948070509772</v>
      </c>
      <c r="N17" s="403"/>
    </row>
    <row r="18" spans="1:14" ht="9" customHeight="1">
      <c r="A18" s="376" t="s">
        <v>369</v>
      </c>
      <c r="B18" s="376"/>
      <c r="C18" s="410">
        <v>17</v>
      </c>
      <c r="D18" s="403">
        <f t="shared" si="0"/>
        <v>2.0506634499396865</v>
      </c>
      <c r="E18" s="388"/>
      <c r="F18" s="406">
        <v>13</v>
      </c>
      <c r="G18" s="403">
        <f t="shared" si="1"/>
        <v>2.4029574861367835</v>
      </c>
      <c r="H18" s="375"/>
      <c r="I18" s="406">
        <v>8</v>
      </c>
      <c r="J18" s="403">
        <f t="shared" si="2"/>
        <v>1.0973936899862824</v>
      </c>
      <c r="K18" s="377"/>
      <c r="L18" s="406">
        <f>C18+F18+I18</f>
        <v>38</v>
      </c>
      <c r="M18" s="403">
        <f t="shared" si="3"/>
        <v>1.8103858980466889</v>
      </c>
      <c r="N18" s="403"/>
    </row>
    <row r="19" spans="1:14" ht="9" customHeight="1">
      <c r="A19" s="376" t="s">
        <v>370</v>
      </c>
      <c r="B19" s="376"/>
      <c r="C19" s="410">
        <v>9</v>
      </c>
      <c r="D19" s="403">
        <f t="shared" si="0"/>
        <v>1.0856453558504222</v>
      </c>
      <c r="E19" s="388"/>
      <c r="F19" s="406">
        <v>10</v>
      </c>
      <c r="G19" s="403">
        <f>F19/$F$39*100</f>
        <v>1.8484288354898337</v>
      </c>
      <c r="H19" s="375"/>
      <c r="I19" s="406">
        <v>2</v>
      </c>
      <c r="J19" s="403">
        <f t="shared" si="2"/>
        <v>0.2743484224965706</v>
      </c>
      <c r="K19" s="377"/>
      <c r="L19" s="406">
        <f>C19+F19+I19</f>
        <v>21</v>
      </c>
      <c r="M19" s="403">
        <f>L19/$L$39*100</f>
        <v>1.0004764173415912</v>
      </c>
      <c r="N19" s="402"/>
    </row>
    <row r="20" spans="1:14" ht="6" customHeight="1">
      <c r="A20" s="376"/>
      <c r="B20" s="376"/>
      <c r="C20" s="409"/>
      <c r="E20" s="335"/>
      <c r="F20" s="405"/>
      <c r="H20" s="375"/>
      <c r="I20" s="405"/>
      <c r="K20" s="377"/>
      <c r="L20" s="405"/>
      <c r="N20" s="402"/>
    </row>
    <row r="21" spans="1:14" ht="9" customHeight="1">
      <c r="A21" s="378" t="s">
        <v>371</v>
      </c>
      <c r="B21" s="378"/>
      <c r="C21" s="409">
        <v>588</v>
      </c>
      <c r="D21" s="402">
        <f>C21/$C$39*100</f>
        <v>70.928829915560925</v>
      </c>
      <c r="E21" s="335"/>
      <c r="F21" s="405">
        <v>369</v>
      </c>
      <c r="G21" s="402">
        <f>F21/$F$39*100</f>
        <v>68.207024029574853</v>
      </c>
      <c r="H21" s="375"/>
      <c r="I21" s="405">
        <v>506</v>
      </c>
      <c r="J21" s="402">
        <f>I21/$I$39*100</f>
        <v>69.41015089163237</v>
      </c>
      <c r="K21" s="375"/>
      <c r="L21" s="405">
        <f>C21+F21+I21</f>
        <v>1463</v>
      </c>
      <c r="M21" s="402">
        <f>L21/$L$39*100</f>
        <v>69.699857074797521</v>
      </c>
      <c r="N21" s="403"/>
    </row>
    <row r="22" spans="1:14" ht="9" customHeight="1">
      <c r="A22" s="378" t="s">
        <v>273</v>
      </c>
      <c r="B22" s="378"/>
      <c r="C22" s="409"/>
      <c r="D22" s="402"/>
      <c r="E22" s="335"/>
      <c r="F22" s="405"/>
      <c r="G22" s="402"/>
      <c r="H22" s="375"/>
      <c r="I22" s="405"/>
      <c r="J22" s="402"/>
      <c r="K22" s="375"/>
      <c r="L22" s="405"/>
      <c r="M22" s="402"/>
      <c r="N22" s="403"/>
    </row>
    <row r="23" spans="1:14" ht="9" customHeight="1">
      <c r="A23" s="379" t="s">
        <v>372</v>
      </c>
      <c r="B23" s="379"/>
      <c r="C23" s="410">
        <v>325</v>
      </c>
      <c r="D23" s="403">
        <f t="shared" ref="D23:D29" si="4">C23/$C$39*100</f>
        <v>39.203860072376358</v>
      </c>
      <c r="E23" s="388"/>
      <c r="F23" s="406">
        <v>196</v>
      </c>
      <c r="G23" s="403">
        <f t="shared" ref="G23:G29" si="5">F23/$F$39*100</f>
        <v>36.22920517560074</v>
      </c>
      <c r="H23" s="375"/>
      <c r="I23" s="406">
        <v>216</v>
      </c>
      <c r="J23" s="403">
        <f t="shared" ref="J23:J29" si="6">I23/$I$39*100</f>
        <v>29.629629629629626</v>
      </c>
      <c r="K23" s="377"/>
      <c r="L23" s="406">
        <f t="shared" ref="L23:L29" si="7">C23+F23+I23</f>
        <v>737</v>
      </c>
      <c r="M23" s="403">
        <f>L23/$L$39*100</f>
        <v>35.11195807527394</v>
      </c>
      <c r="N23" s="403"/>
    </row>
    <row r="24" spans="1:14" ht="20.149999999999999" customHeight="1">
      <c r="A24" s="376" t="s">
        <v>373</v>
      </c>
      <c r="B24" s="376"/>
      <c r="C24" s="410">
        <v>47</v>
      </c>
      <c r="D24" s="403">
        <f t="shared" si="4"/>
        <v>5.6694813027744271</v>
      </c>
      <c r="E24" s="388"/>
      <c r="F24" s="406">
        <v>23</v>
      </c>
      <c r="G24" s="403">
        <f t="shared" si="5"/>
        <v>4.251386321626617</v>
      </c>
      <c r="H24" s="375"/>
      <c r="I24" s="406">
        <v>65</v>
      </c>
      <c r="J24" s="403">
        <f t="shared" si="6"/>
        <v>8.9163237311385473</v>
      </c>
      <c r="K24" s="377"/>
      <c r="L24" s="406">
        <f t="shared" si="7"/>
        <v>135</v>
      </c>
      <c r="M24" s="403">
        <f>L24/$L$39*100</f>
        <v>6.4316341114816584</v>
      </c>
      <c r="N24" s="403"/>
    </row>
    <row r="25" spans="1:14" ht="9" customHeight="1">
      <c r="A25" s="376" t="s">
        <v>374</v>
      </c>
      <c r="B25" s="376"/>
      <c r="C25" s="410">
        <v>24</v>
      </c>
      <c r="D25" s="403">
        <f t="shared" si="4"/>
        <v>2.8950542822677927</v>
      </c>
      <c r="E25" s="388"/>
      <c r="F25" s="406">
        <v>32</v>
      </c>
      <c r="G25" s="403">
        <f t="shared" si="5"/>
        <v>5.9149722735674679</v>
      </c>
      <c r="H25" s="375"/>
      <c r="I25" s="406">
        <v>32</v>
      </c>
      <c r="J25" s="403">
        <f t="shared" si="6"/>
        <v>4.3895747599451296</v>
      </c>
      <c r="K25" s="377"/>
      <c r="L25" s="406">
        <f t="shared" si="7"/>
        <v>88</v>
      </c>
      <c r="M25" s="403">
        <f t="shared" ref="M25:M29" si="8">L25/$L$39*100</f>
        <v>4.1924726060028581</v>
      </c>
      <c r="N25" s="403"/>
    </row>
    <row r="26" spans="1:14" ht="9" customHeight="1">
      <c r="A26" s="376" t="s">
        <v>375</v>
      </c>
      <c r="B26" s="376"/>
      <c r="C26" s="410">
        <v>36</v>
      </c>
      <c r="D26" s="403">
        <f t="shared" si="4"/>
        <v>4.3425814234016888</v>
      </c>
      <c r="E26" s="388"/>
      <c r="F26" s="406">
        <v>2</v>
      </c>
      <c r="G26" s="403">
        <f t="shared" si="5"/>
        <v>0.36968576709796674</v>
      </c>
      <c r="H26" s="375"/>
      <c r="I26" s="406">
        <v>37</v>
      </c>
      <c r="J26" s="403">
        <f t="shared" si="6"/>
        <v>5.0754458161865568</v>
      </c>
      <c r="K26" s="377"/>
      <c r="L26" s="406">
        <f t="shared" si="7"/>
        <v>75</v>
      </c>
      <c r="M26" s="403">
        <f t="shared" si="8"/>
        <v>3.5731300619342541</v>
      </c>
      <c r="N26" s="403"/>
    </row>
    <row r="27" spans="1:14" ht="9" customHeight="1">
      <c r="A27" s="376" t="s">
        <v>376</v>
      </c>
      <c r="B27" s="376"/>
      <c r="C27" s="410">
        <v>13</v>
      </c>
      <c r="D27" s="403">
        <f t="shared" si="4"/>
        <v>1.5681544028950543</v>
      </c>
      <c r="E27" s="388"/>
      <c r="F27" s="406">
        <v>3</v>
      </c>
      <c r="G27" s="403">
        <f t="shared" si="5"/>
        <v>0.55452865064695012</v>
      </c>
      <c r="H27" s="375"/>
      <c r="I27" s="406">
        <v>8</v>
      </c>
      <c r="J27" s="403">
        <f t="shared" si="6"/>
        <v>1.0973936899862824</v>
      </c>
      <c r="K27" s="377"/>
      <c r="L27" s="406">
        <f t="shared" si="7"/>
        <v>24</v>
      </c>
      <c r="M27" s="403">
        <f t="shared" si="8"/>
        <v>1.1434016198189614</v>
      </c>
      <c r="N27" s="403"/>
    </row>
    <row r="28" spans="1:14" ht="9" customHeight="1">
      <c r="A28" s="376" t="s">
        <v>377</v>
      </c>
      <c r="B28" s="376"/>
      <c r="C28" s="410">
        <v>19</v>
      </c>
      <c r="D28" s="403">
        <f t="shared" si="4"/>
        <v>2.2919179734620023</v>
      </c>
      <c r="E28" s="388"/>
      <c r="F28" s="406">
        <v>18</v>
      </c>
      <c r="G28" s="403">
        <f t="shared" si="5"/>
        <v>3.3271719038817005</v>
      </c>
      <c r="H28" s="375"/>
      <c r="I28" s="406">
        <v>28</v>
      </c>
      <c r="J28" s="403">
        <f t="shared" si="6"/>
        <v>3.8408779149519892</v>
      </c>
      <c r="K28" s="377"/>
      <c r="L28" s="406">
        <f t="shared" si="7"/>
        <v>65</v>
      </c>
      <c r="M28" s="403">
        <f t="shared" si="8"/>
        <v>3.0967127203430205</v>
      </c>
      <c r="N28" s="402"/>
    </row>
    <row r="29" spans="1:14" ht="9" customHeight="1">
      <c r="A29" s="376" t="s">
        <v>378</v>
      </c>
      <c r="B29" s="376"/>
      <c r="C29" s="410">
        <v>40</v>
      </c>
      <c r="D29" s="403">
        <f t="shared" si="4"/>
        <v>4.8250904704463204</v>
      </c>
      <c r="E29" s="388"/>
      <c r="F29" s="406">
        <v>15</v>
      </c>
      <c r="G29" s="403">
        <f t="shared" si="5"/>
        <v>2.7726432532347505</v>
      </c>
      <c r="H29" s="375"/>
      <c r="I29" s="406">
        <v>23</v>
      </c>
      <c r="J29" s="403">
        <f t="shared" si="6"/>
        <v>3.155006858710562</v>
      </c>
      <c r="K29" s="377"/>
      <c r="L29" s="406">
        <f t="shared" si="7"/>
        <v>78</v>
      </c>
      <c r="M29" s="403">
        <f t="shared" si="8"/>
        <v>3.7160552644116245</v>
      </c>
      <c r="N29" s="402"/>
    </row>
    <row r="30" spans="1:14" ht="6" customHeight="1">
      <c r="C30" s="409"/>
      <c r="D30" s="402"/>
      <c r="E30" s="335"/>
      <c r="F30" s="405"/>
      <c r="G30" s="402"/>
      <c r="H30" s="375"/>
      <c r="I30" s="405"/>
      <c r="J30" s="402"/>
      <c r="K30" s="375"/>
      <c r="L30" s="405"/>
      <c r="M30" s="402"/>
      <c r="N30" s="402"/>
    </row>
    <row r="31" spans="1:14" ht="9" customHeight="1">
      <c r="A31" s="378" t="s">
        <v>379</v>
      </c>
      <c r="B31" s="378"/>
      <c r="C31" s="409">
        <v>155</v>
      </c>
      <c r="D31" s="402">
        <f>C31/$C$39*100</f>
        <v>18.697225572979491</v>
      </c>
      <c r="E31" s="335"/>
      <c r="F31" s="405">
        <v>71</v>
      </c>
      <c r="G31" s="402">
        <f>F31/$F$39*100</f>
        <v>13.123844731977819</v>
      </c>
      <c r="H31" s="375"/>
      <c r="I31" s="405">
        <v>152</v>
      </c>
      <c r="J31" s="402">
        <f>I31/$I$39*100</f>
        <v>20.850480109739369</v>
      </c>
      <c r="K31" s="375"/>
      <c r="L31" s="405">
        <f>C31+F31+I31</f>
        <v>378</v>
      </c>
      <c r="M31" s="402">
        <f>L31/$L$39*100</f>
        <v>18.008575512148642</v>
      </c>
      <c r="N31" s="403"/>
    </row>
    <row r="32" spans="1:14" ht="9" customHeight="1">
      <c r="A32" s="378" t="s">
        <v>273</v>
      </c>
      <c r="B32" s="378"/>
      <c r="C32" s="409"/>
      <c r="D32" s="402"/>
      <c r="E32" s="335"/>
      <c r="F32" s="405"/>
      <c r="G32" s="402"/>
      <c r="H32" s="375"/>
      <c r="I32" s="405"/>
      <c r="J32" s="402"/>
      <c r="K32" s="375"/>
      <c r="L32" s="405"/>
      <c r="M32" s="402"/>
      <c r="N32" s="403"/>
    </row>
    <row r="33" spans="1:14" ht="9" customHeight="1">
      <c r="A33" s="376" t="s">
        <v>380</v>
      </c>
      <c r="B33" s="376"/>
      <c r="C33" s="410">
        <v>43</v>
      </c>
      <c r="D33" s="403">
        <f>C33/$C$39*100</f>
        <v>5.1869722557297955</v>
      </c>
      <c r="E33" s="388"/>
      <c r="F33" s="406">
        <v>41</v>
      </c>
      <c r="G33" s="403">
        <f>F33/$F$39*100</f>
        <v>7.5785582255083179</v>
      </c>
      <c r="H33" s="375"/>
      <c r="I33" s="406">
        <v>43</v>
      </c>
      <c r="J33" s="403">
        <f>I33/$I$39*100</f>
        <v>5.8984910836762685</v>
      </c>
      <c r="K33" s="377"/>
      <c r="L33" s="406">
        <f>C33+F33+I33</f>
        <v>127</v>
      </c>
      <c r="M33" s="403">
        <f>L33/$L$39*100</f>
        <v>6.0505002382086701</v>
      </c>
      <c r="N33" s="403"/>
    </row>
    <row r="34" spans="1:14" ht="9" customHeight="1">
      <c r="A34" s="376" t="s">
        <v>381</v>
      </c>
      <c r="B34" s="376"/>
      <c r="C34" s="410">
        <v>95</v>
      </c>
      <c r="D34" s="403">
        <f>C34/$C$39*100</f>
        <v>11.459589867310012</v>
      </c>
      <c r="E34" s="388"/>
      <c r="F34" s="406">
        <v>28</v>
      </c>
      <c r="G34" s="403">
        <f>F34/$F$39*100</f>
        <v>5.1756007393715349</v>
      </c>
      <c r="H34" s="375"/>
      <c r="I34" s="406">
        <v>87</v>
      </c>
      <c r="J34" s="403">
        <f>I34/$I$39*100</f>
        <v>11.934156378600823</v>
      </c>
      <c r="K34" s="377"/>
      <c r="L34" s="406">
        <f>C34+F34+I34</f>
        <v>210</v>
      </c>
      <c r="M34" s="403">
        <f t="shared" ref="M34:M35" si="9">L34/$L$39*100</f>
        <v>10.004764173415913</v>
      </c>
      <c r="N34" s="402"/>
    </row>
    <row r="35" spans="1:14" ht="9" customHeight="1">
      <c r="A35" s="376" t="s">
        <v>382</v>
      </c>
      <c r="B35" s="376"/>
      <c r="C35" s="410">
        <v>14</v>
      </c>
      <c r="D35" s="403">
        <f>C35/$C$39*100</f>
        <v>1.6887816646562124</v>
      </c>
      <c r="E35" s="388"/>
      <c r="F35" s="406">
        <v>1</v>
      </c>
      <c r="G35" s="403">
        <f>F35/$F$39*100</f>
        <v>0.18484288354898337</v>
      </c>
      <c r="H35" s="375"/>
      <c r="I35" s="406">
        <v>14</v>
      </c>
      <c r="J35" s="403">
        <f>I35/$I$39*100</f>
        <v>1.9204389574759946</v>
      </c>
      <c r="K35" s="377"/>
      <c r="L35" s="406">
        <f>C35+F35+I35</f>
        <v>29</v>
      </c>
      <c r="M35" s="403">
        <f t="shared" si="9"/>
        <v>1.3816102906145784</v>
      </c>
      <c r="N35" s="404"/>
    </row>
    <row r="36" spans="1:14" ht="9" customHeight="1">
      <c r="A36" s="376"/>
      <c r="B36" s="376"/>
      <c r="C36" s="410"/>
      <c r="E36" s="388"/>
      <c r="F36" s="406"/>
      <c r="H36" s="375"/>
      <c r="I36" s="406"/>
      <c r="K36" s="377"/>
      <c r="L36" s="406"/>
    </row>
    <row r="37" spans="1:14" ht="9" customHeight="1">
      <c r="A37" s="378" t="s">
        <v>383</v>
      </c>
      <c r="B37" s="378"/>
      <c r="C37" s="371">
        <v>1</v>
      </c>
      <c r="D37" s="402">
        <f>C37/$C$39*100</f>
        <v>0.12062726176115801</v>
      </c>
      <c r="E37" s="335"/>
      <c r="F37" s="405">
        <v>3</v>
      </c>
      <c r="G37" s="402">
        <f>F37/$F$39*100</f>
        <v>0.55452865064695012</v>
      </c>
      <c r="H37" s="375"/>
      <c r="I37" s="405">
        <v>3</v>
      </c>
      <c r="J37" s="402">
        <f>I37/$I$39*100</f>
        <v>0.41152263374485598</v>
      </c>
      <c r="K37" s="375"/>
      <c r="L37" s="405">
        <f>C37+F37+I37</f>
        <v>7</v>
      </c>
      <c r="M37" s="402">
        <f>L37/$L$39*100</f>
        <v>0.33349213911386372</v>
      </c>
    </row>
    <row r="38" spans="1:14" ht="6" customHeight="1">
      <c r="A38" s="378"/>
      <c r="B38" s="378"/>
      <c r="C38" s="409"/>
      <c r="E38" s="335"/>
      <c r="F38" s="405"/>
      <c r="H38" s="375"/>
      <c r="I38" s="405"/>
      <c r="K38" s="375"/>
      <c r="L38" s="405"/>
    </row>
    <row r="39" spans="1:14" ht="9" customHeight="1">
      <c r="A39" s="380" t="s">
        <v>58</v>
      </c>
      <c r="B39" s="380"/>
      <c r="C39" s="411">
        <f>SUM(C11+C13+C21+C31+C37)</f>
        <v>829</v>
      </c>
      <c r="D39" s="404">
        <v>100</v>
      </c>
      <c r="E39" s="386"/>
      <c r="F39" s="407">
        <f>SUM(F11+F13+F21+F31+F37)</f>
        <v>541</v>
      </c>
      <c r="G39" s="404">
        <v>100</v>
      </c>
      <c r="H39" s="375"/>
      <c r="I39" s="407">
        <v>729</v>
      </c>
      <c r="J39" s="404">
        <v>100</v>
      </c>
      <c r="K39" s="381"/>
      <c r="L39" s="407">
        <f>C39+F39+I39</f>
        <v>2099</v>
      </c>
      <c r="M39" s="404">
        <v>100</v>
      </c>
    </row>
    <row r="40" spans="1:14" ht="5.15" customHeight="1">
      <c r="A40" s="382"/>
      <c r="B40" s="382"/>
      <c r="C40" s="348"/>
      <c r="D40" s="348"/>
      <c r="E40" s="383"/>
      <c r="F40" s="383"/>
      <c r="G40" s="408"/>
      <c r="H40" s="408"/>
      <c r="I40" s="348"/>
      <c r="J40" s="348"/>
      <c r="K40" s="348"/>
      <c r="L40" s="383"/>
      <c r="M40" s="348"/>
    </row>
    <row r="41" spans="1:14" ht="6" customHeight="1">
      <c r="A41" s="352"/>
      <c r="B41" s="352"/>
      <c r="C41" s="351"/>
      <c r="D41" s="351"/>
      <c r="E41" s="351"/>
      <c r="F41" s="213"/>
      <c r="G41" s="213"/>
      <c r="H41" s="213"/>
      <c r="I41" s="213"/>
    </row>
    <row r="42" spans="1:14" ht="12" customHeight="1">
      <c r="A42" s="398" t="s">
        <v>384</v>
      </c>
      <c r="B42" s="398"/>
      <c r="C42" s="147"/>
      <c r="D42" s="147"/>
      <c r="E42" s="147"/>
      <c r="F42" s="213"/>
      <c r="G42" s="213"/>
      <c r="H42" s="213"/>
      <c r="I42" s="213"/>
      <c r="L42" s="480"/>
      <c r="N42" s="500"/>
    </row>
    <row r="43" spans="1:14" ht="12" customHeight="1">
      <c r="A43" s="680" t="s">
        <v>385</v>
      </c>
      <c r="B43" s="680"/>
      <c r="C43" s="680"/>
      <c r="D43" s="680"/>
      <c r="E43" s="680"/>
      <c r="F43" s="680"/>
      <c r="G43" s="680"/>
      <c r="H43" s="680"/>
      <c r="I43" s="680"/>
      <c r="J43" s="680"/>
      <c r="K43" s="680"/>
      <c r="L43" s="680"/>
      <c r="M43" s="680"/>
    </row>
    <row r="44" spans="1:14" ht="12" customHeight="1">
      <c r="A44" s="680" t="s">
        <v>386</v>
      </c>
      <c r="B44" s="680"/>
      <c r="C44" s="680"/>
      <c r="D44" s="680"/>
      <c r="E44" s="680"/>
      <c r="F44" s="680"/>
      <c r="G44" s="680"/>
      <c r="H44" s="680"/>
      <c r="I44" s="680"/>
      <c r="J44" s="680"/>
      <c r="K44" s="680"/>
      <c r="L44" s="680"/>
      <c r="M44" s="680"/>
    </row>
    <row r="45" spans="1:14">
      <c r="A45" s="213"/>
      <c r="B45" s="213"/>
      <c r="C45" s="213"/>
      <c r="D45" s="213"/>
      <c r="E45" s="213"/>
      <c r="F45" s="213"/>
      <c r="G45" s="213"/>
      <c r="H45" s="213"/>
      <c r="I45" s="213"/>
    </row>
    <row r="46" spans="1:14" ht="12" customHeight="1">
      <c r="C46" s="488"/>
      <c r="D46" s="488"/>
      <c r="E46" s="488"/>
      <c r="F46" s="488"/>
    </row>
    <row r="47" spans="1:14" ht="6" customHeight="1"/>
    <row r="48" spans="1:14" ht="12" customHeight="1"/>
    <row r="49" ht="12" customHeight="1"/>
    <row r="51" ht="5.15" customHeight="1"/>
    <row r="52" s="49" customFormat="1" ht="9" customHeight="1"/>
    <row r="53" s="49" customFormat="1" ht="9" customHeight="1"/>
    <row r="54" s="49" customFormat="1" ht="9" customHeight="1"/>
    <row r="55" s="49" customFormat="1" ht="9" customHeight="1"/>
    <row r="56" s="49" customFormat="1" ht="9" customHeight="1"/>
    <row r="57" s="49" customFormat="1" ht="9" customHeight="1"/>
    <row r="58" s="49" customFormat="1" ht="5.15" customHeight="1"/>
    <row r="59" s="49" customFormat="1" ht="6" customHeight="1"/>
    <row r="60" ht="12.75" customHeight="1"/>
    <row r="61" ht="19.5" customHeight="1"/>
  </sheetData>
  <mergeCells count="9">
    <mergeCell ref="A43:M43"/>
    <mergeCell ref="A44:M44"/>
    <mergeCell ref="A4:E4"/>
    <mergeCell ref="A7:A9"/>
    <mergeCell ref="C7:J7"/>
    <mergeCell ref="L7:M8"/>
    <mergeCell ref="C8:D8"/>
    <mergeCell ref="F8:G8"/>
    <mergeCell ref="I8:J8"/>
  </mergeCells>
  <pageMargins left="0.7" right="0.7" top="0.75" bottom="0.75" header="0.3" footer="0.3"/>
  <pageSetup paperSize="9" orientation="portrait" horizontalDpi="0"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topLeftCell="A2" workbookViewId="0">
      <selection activeCell="A4" sqref="A4"/>
    </sheetView>
  </sheetViews>
  <sheetFormatPr defaultRowHeight="14.5"/>
  <cols>
    <col min="1" max="1" width="17.453125" customWidth="1"/>
    <col min="5" max="5" width="0.81640625" customWidth="1"/>
    <col min="9" max="9" width="0.81640625" customWidth="1"/>
    <col min="13" max="13" width="0.81640625" customWidth="1"/>
  </cols>
  <sheetData>
    <row r="1" spans="1:17" ht="12" customHeight="1"/>
    <row r="2" spans="1:17" ht="12" customHeight="1"/>
    <row r="3" spans="1:17" ht="12" customHeight="1"/>
    <row r="4" spans="1:17" ht="12" customHeight="1">
      <c r="A4" s="389" t="s">
        <v>387</v>
      </c>
      <c r="B4" s="389"/>
      <c r="C4" s="389"/>
      <c r="D4" s="389"/>
      <c r="E4" s="389"/>
      <c r="F4" s="389"/>
      <c r="G4" s="389"/>
      <c r="H4" s="389"/>
      <c r="I4" s="389"/>
      <c r="J4" s="389"/>
      <c r="K4" s="389"/>
    </row>
    <row r="5" spans="1:17" ht="12" customHeight="1">
      <c r="A5" s="437" t="s">
        <v>11</v>
      </c>
      <c r="B5" s="389"/>
      <c r="C5" s="389"/>
      <c r="D5" s="389"/>
      <c r="E5" s="389"/>
      <c r="F5" s="389"/>
      <c r="G5" s="389"/>
      <c r="H5" s="389"/>
      <c r="I5" s="389"/>
      <c r="J5" s="389"/>
      <c r="K5" s="389"/>
    </row>
    <row r="6" spans="1:17" ht="6" customHeight="1">
      <c r="A6" s="348"/>
      <c r="B6" s="348"/>
      <c r="C6" s="348"/>
      <c r="D6" s="348"/>
      <c r="E6" s="348"/>
      <c r="F6" s="348"/>
      <c r="G6" s="348"/>
      <c r="H6" s="348"/>
      <c r="I6" s="348"/>
      <c r="J6" s="348"/>
      <c r="K6" s="348"/>
      <c r="L6" s="383"/>
      <c r="M6" s="383"/>
      <c r="N6" s="383"/>
      <c r="O6" s="383"/>
      <c r="P6" s="383"/>
    </row>
    <row r="7" spans="1:17" ht="12" customHeight="1">
      <c r="A7" s="683" t="s">
        <v>388</v>
      </c>
      <c r="B7" s="682" t="s">
        <v>361</v>
      </c>
      <c r="C7" s="682"/>
      <c r="D7" s="682"/>
      <c r="E7" s="682"/>
      <c r="F7" s="682"/>
      <c r="G7" s="682"/>
      <c r="H7" s="682"/>
      <c r="I7" s="682"/>
      <c r="J7" s="682"/>
      <c r="K7" s="682"/>
      <c r="L7" s="682"/>
      <c r="M7" s="682"/>
      <c r="N7" s="682"/>
      <c r="O7" s="682"/>
      <c r="P7" s="682"/>
    </row>
    <row r="8" spans="1:17" ht="12" customHeight="1">
      <c r="A8" s="687"/>
      <c r="B8" s="688" t="s">
        <v>352</v>
      </c>
      <c r="C8" s="688"/>
      <c r="D8" s="688"/>
      <c r="E8" s="392"/>
      <c r="F8" s="688" t="s">
        <v>83</v>
      </c>
      <c r="G8" s="688"/>
      <c r="H8" s="688"/>
      <c r="I8" s="392"/>
      <c r="J8" s="688" t="s">
        <v>86</v>
      </c>
      <c r="K8" s="688"/>
      <c r="L8" s="688"/>
      <c r="M8" s="392"/>
      <c r="N8" s="688" t="s">
        <v>58</v>
      </c>
      <c r="O8" s="688"/>
      <c r="P8" s="688"/>
    </row>
    <row r="9" spans="1:17" ht="21.75" customHeight="1">
      <c r="A9" s="681"/>
      <c r="B9" s="393" t="s">
        <v>389</v>
      </c>
      <c r="C9" s="393" t="s">
        <v>390</v>
      </c>
      <c r="D9" s="393" t="s">
        <v>391</v>
      </c>
      <c r="E9" s="393"/>
      <c r="F9" s="393" t="s">
        <v>389</v>
      </c>
      <c r="G9" s="393" t="s">
        <v>390</v>
      </c>
      <c r="H9" s="393" t="s">
        <v>391</v>
      </c>
      <c r="I9" s="393"/>
      <c r="J9" s="393" t="s">
        <v>389</v>
      </c>
      <c r="K9" s="393" t="s">
        <v>390</v>
      </c>
      <c r="L9" s="393" t="s">
        <v>391</v>
      </c>
      <c r="M9" s="394"/>
      <c r="N9" s="393" t="s">
        <v>389</v>
      </c>
      <c r="O9" s="393" t="s">
        <v>390</v>
      </c>
      <c r="P9" s="393" t="s">
        <v>391</v>
      </c>
    </row>
    <row r="10" spans="1:17" ht="3" customHeight="1">
      <c r="A10" s="384"/>
      <c r="B10" s="395"/>
      <c r="C10" s="395"/>
      <c r="D10" s="395"/>
      <c r="E10" s="395"/>
      <c r="F10" s="395"/>
      <c r="G10" s="395"/>
      <c r="H10" s="395"/>
      <c r="I10" s="395"/>
      <c r="J10" s="212"/>
      <c r="K10" s="212"/>
      <c r="L10" s="211"/>
      <c r="M10" s="211"/>
      <c r="N10" s="212"/>
      <c r="O10" s="212"/>
      <c r="P10" s="211"/>
    </row>
    <row r="11" spans="1:17" ht="12" customHeight="1">
      <c r="A11" s="328" t="s">
        <v>392</v>
      </c>
      <c r="B11" s="371">
        <v>14</v>
      </c>
      <c r="C11" s="371">
        <v>36</v>
      </c>
      <c r="D11" s="371">
        <v>174</v>
      </c>
      <c r="E11" s="371"/>
      <c r="F11" s="371">
        <v>27</v>
      </c>
      <c r="G11" s="371">
        <v>75</v>
      </c>
      <c r="H11" s="371">
        <v>15</v>
      </c>
      <c r="I11" s="371"/>
      <c r="J11" s="371">
        <v>12</v>
      </c>
      <c r="K11" s="371">
        <v>17</v>
      </c>
      <c r="L11" s="371">
        <v>76</v>
      </c>
      <c r="M11" s="371"/>
      <c r="N11" s="371">
        <v>53</v>
      </c>
      <c r="O11" s="371">
        <v>128</v>
      </c>
      <c r="P11" s="371">
        <v>265</v>
      </c>
    </row>
    <row r="12" spans="1:17" ht="12" customHeight="1">
      <c r="A12" s="190" t="s">
        <v>393</v>
      </c>
      <c r="B12" s="371">
        <v>6</v>
      </c>
      <c r="C12" s="371">
        <v>10</v>
      </c>
      <c r="D12" s="371">
        <v>11</v>
      </c>
      <c r="E12" s="371"/>
      <c r="F12" s="371">
        <v>11</v>
      </c>
      <c r="G12" s="371">
        <v>6</v>
      </c>
      <c r="H12" s="371">
        <v>1</v>
      </c>
      <c r="I12" s="371"/>
      <c r="J12" s="371">
        <v>16</v>
      </c>
      <c r="K12" s="371">
        <v>32</v>
      </c>
      <c r="L12" s="371">
        <v>12</v>
      </c>
      <c r="M12" s="371"/>
      <c r="N12" s="371">
        <v>33</v>
      </c>
      <c r="O12" s="371">
        <v>48</v>
      </c>
      <c r="P12" s="371">
        <v>24</v>
      </c>
    </row>
    <row r="13" spans="1:17" ht="12" customHeight="1">
      <c r="A13" s="190" t="s">
        <v>394</v>
      </c>
      <c r="B13" s="371">
        <v>6</v>
      </c>
      <c r="C13" s="371">
        <v>9</v>
      </c>
      <c r="D13" s="371">
        <v>10</v>
      </c>
      <c r="E13" s="371"/>
      <c r="F13" s="396">
        <v>41</v>
      </c>
      <c r="G13" s="371">
        <v>24</v>
      </c>
      <c r="H13" s="371">
        <v>0</v>
      </c>
      <c r="I13" s="371"/>
      <c r="J13" s="371">
        <v>10</v>
      </c>
      <c r="K13" s="371">
        <v>34</v>
      </c>
      <c r="L13" s="371">
        <v>35</v>
      </c>
      <c r="M13" s="371"/>
      <c r="N13" s="371">
        <v>57</v>
      </c>
      <c r="O13" s="371">
        <v>67</v>
      </c>
      <c r="P13" s="371">
        <v>45</v>
      </c>
    </row>
    <row r="14" spans="1:17" ht="12" customHeight="1">
      <c r="A14" s="190" t="s">
        <v>395</v>
      </c>
      <c r="B14" s="371">
        <v>15</v>
      </c>
      <c r="C14" s="396">
        <v>134</v>
      </c>
      <c r="D14" s="396">
        <v>308</v>
      </c>
      <c r="E14" s="396"/>
      <c r="F14" s="396">
        <v>100</v>
      </c>
      <c r="G14" s="371">
        <v>155</v>
      </c>
      <c r="H14" s="371">
        <v>7</v>
      </c>
      <c r="I14" s="371"/>
      <c r="J14" s="371">
        <v>15</v>
      </c>
      <c r="K14" s="371">
        <v>160</v>
      </c>
      <c r="L14" s="371">
        <v>159</v>
      </c>
      <c r="M14" s="371"/>
      <c r="N14" s="371">
        <v>130</v>
      </c>
      <c r="O14" s="371">
        <v>449</v>
      </c>
      <c r="P14" s="371">
        <v>474</v>
      </c>
    </row>
    <row r="15" spans="1:17" ht="12" customHeight="1">
      <c r="A15" s="190" t="s">
        <v>396</v>
      </c>
      <c r="B15" s="371">
        <v>1</v>
      </c>
      <c r="C15" s="371">
        <v>22</v>
      </c>
      <c r="D15" s="371">
        <v>29</v>
      </c>
      <c r="E15" s="371"/>
      <c r="F15" s="371">
        <v>17</v>
      </c>
      <c r="G15" s="371">
        <v>26</v>
      </c>
      <c r="H15" s="371">
        <v>7</v>
      </c>
      <c r="I15" s="371"/>
      <c r="J15" s="371">
        <v>1</v>
      </c>
      <c r="K15" s="371">
        <v>39</v>
      </c>
      <c r="L15" s="371">
        <v>14</v>
      </c>
      <c r="M15" s="371"/>
      <c r="N15" s="371">
        <v>19</v>
      </c>
      <c r="O15" s="371">
        <v>87</v>
      </c>
      <c r="P15" s="371">
        <v>50</v>
      </c>
    </row>
    <row r="16" spans="1:17" ht="12" customHeight="1">
      <c r="A16" s="380" t="s">
        <v>58</v>
      </c>
      <c r="B16" s="373">
        <v>42</v>
      </c>
      <c r="C16" s="397">
        <v>211</v>
      </c>
      <c r="D16" s="397">
        <v>532</v>
      </c>
      <c r="E16" s="397"/>
      <c r="F16" s="397">
        <v>196</v>
      </c>
      <c r="G16" s="373">
        <v>286</v>
      </c>
      <c r="H16" s="373">
        <v>30</v>
      </c>
      <c r="I16" s="373"/>
      <c r="J16" s="373">
        <v>54</v>
      </c>
      <c r="K16" s="373">
        <v>282</v>
      </c>
      <c r="L16" s="373">
        <v>296</v>
      </c>
      <c r="M16" s="373"/>
      <c r="N16" s="373">
        <v>292</v>
      </c>
      <c r="O16" s="373">
        <v>779</v>
      </c>
      <c r="P16" s="373">
        <v>858</v>
      </c>
      <c r="Q16" s="391"/>
    </row>
    <row r="17" spans="1:16" ht="3" customHeight="1">
      <c r="A17" s="193"/>
      <c r="B17" s="193"/>
      <c r="C17" s="193"/>
      <c r="D17" s="193"/>
      <c r="E17" s="193"/>
      <c r="F17" s="193"/>
      <c r="G17" s="193"/>
      <c r="H17" s="193"/>
      <c r="I17" s="193"/>
      <c r="J17" s="193"/>
      <c r="K17" s="193"/>
      <c r="L17" s="193"/>
      <c r="M17" s="193"/>
      <c r="N17" s="193"/>
      <c r="O17" s="193"/>
      <c r="P17" s="193"/>
    </row>
    <row r="18" spans="1:16" ht="3" customHeight="1">
      <c r="A18" s="49"/>
      <c r="B18" s="49"/>
      <c r="C18" s="49"/>
      <c r="D18" s="49"/>
      <c r="E18" s="49"/>
      <c r="F18" s="49"/>
      <c r="G18" s="49"/>
      <c r="H18" s="49"/>
      <c r="I18" s="49"/>
      <c r="J18" s="49"/>
      <c r="K18" s="49"/>
      <c r="L18" s="49"/>
      <c r="M18" s="49"/>
      <c r="N18" s="49"/>
      <c r="O18" s="49"/>
      <c r="P18" s="49"/>
    </row>
    <row r="19" spans="1:16" ht="12" customHeight="1">
      <c r="A19" s="398" t="s">
        <v>357</v>
      </c>
      <c r="B19" s="399"/>
      <c r="C19" s="399"/>
      <c r="D19" s="399"/>
      <c r="E19" s="399"/>
      <c r="F19" s="399"/>
      <c r="G19" s="399"/>
      <c r="H19" s="399"/>
      <c r="I19" s="399"/>
      <c r="J19" s="399"/>
      <c r="K19" s="399"/>
      <c r="L19" s="399"/>
      <c r="M19" s="399"/>
      <c r="N19" s="399"/>
      <c r="O19" s="399"/>
      <c r="P19" s="399"/>
    </row>
    <row r="20" spans="1:16" ht="19.5" customHeight="1">
      <c r="A20" s="686" t="s">
        <v>397</v>
      </c>
      <c r="B20" s="686"/>
      <c r="C20" s="686"/>
      <c r="D20" s="686"/>
      <c r="E20" s="686"/>
      <c r="F20" s="686"/>
      <c r="G20" s="686"/>
      <c r="H20" s="686"/>
      <c r="I20" s="686"/>
      <c r="J20" s="686"/>
      <c r="K20" s="686"/>
      <c r="L20" s="686"/>
      <c r="M20" s="686"/>
      <c r="N20" s="686"/>
      <c r="O20" s="686"/>
      <c r="P20" s="686"/>
    </row>
    <row r="21" spans="1:16" s="502" customFormat="1" ht="12" customHeight="1">
      <c r="A21" s="685" t="s">
        <v>398</v>
      </c>
      <c r="B21" s="685"/>
      <c r="C21" s="685"/>
      <c r="D21" s="685"/>
      <c r="E21" s="685"/>
      <c r="F21" s="685"/>
      <c r="G21" s="685"/>
      <c r="H21" s="685"/>
      <c r="I21" s="685"/>
      <c r="J21" s="685"/>
      <c r="K21" s="685"/>
      <c r="L21" s="685"/>
      <c r="M21" s="685"/>
      <c r="N21" s="685"/>
      <c r="O21" s="685"/>
      <c r="P21" s="685"/>
    </row>
    <row r="22" spans="1:16">
      <c r="A22" s="190"/>
      <c r="B22" s="391"/>
      <c r="C22" s="391"/>
      <c r="D22" s="391"/>
      <c r="E22" s="391"/>
      <c r="F22" s="391"/>
      <c r="G22" s="391"/>
      <c r="H22" s="391"/>
      <c r="I22" s="391"/>
      <c r="J22" s="391"/>
      <c r="K22" s="391"/>
      <c r="L22" s="391"/>
      <c r="M22" s="391"/>
      <c r="N22" s="391"/>
      <c r="O22" s="391"/>
      <c r="P22" s="391"/>
    </row>
    <row r="23" spans="1:16">
      <c r="A23" s="190"/>
      <c r="B23" s="391"/>
      <c r="C23" s="391"/>
      <c r="D23" s="391"/>
      <c r="E23" s="391"/>
      <c r="F23" s="391"/>
      <c r="G23" s="391"/>
      <c r="H23" s="391"/>
      <c r="I23" s="391"/>
      <c r="J23" s="391"/>
      <c r="K23" s="391"/>
      <c r="L23" s="391"/>
      <c r="M23" s="391"/>
      <c r="N23" s="391"/>
      <c r="O23" s="391"/>
      <c r="P23" s="391"/>
    </row>
    <row r="24" spans="1:16">
      <c r="A24" s="190"/>
      <c r="B24" s="391"/>
      <c r="C24" s="391"/>
      <c r="D24" s="391"/>
      <c r="E24" s="391"/>
      <c r="F24" s="391"/>
      <c r="G24" s="391"/>
      <c r="H24" s="391"/>
      <c r="I24" s="391"/>
      <c r="J24" s="391"/>
      <c r="K24" s="391"/>
      <c r="L24" s="391"/>
      <c r="M24" s="391"/>
      <c r="N24" s="391"/>
      <c r="O24" s="391"/>
      <c r="P24" s="391"/>
    </row>
    <row r="25" spans="1:16">
      <c r="A25" s="380"/>
      <c r="B25" s="391"/>
      <c r="C25" s="391"/>
      <c r="D25" s="391"/>
      <c r="E25" s="391"/>
      <c r="F25" s="391"/>
      <c r="G25" s="391"/>
      <c r="H25" s="391"/>
      <c r="I25" s="391"/>
      <c r="J25" s="391"/>
      <c r="K25" s="391"/>
      <c r="L25" s="391"/>
      <c r="M25" s="391"/>
      <c r="N25" s="391"/>
      <c r="O25" s="391"/>
      <c r="P25" s="391"/>
    </row>
    <row r="26" spans="1:16">
      <c r="N26" s="391"/>
      <c r="O26" s="391"/>
      <c r="P26" s="391"/>
    </row>
    <row r="27" spans="1:16">
      <c r="N27" s="391"/>
      <c r="O27" s="391"/>
      <c r="P27" s="391"/>
    </row>
    <row r="28" spans="1:16">
      <c r="N28" s="391"/>
      <c r="O28" s="391"/>
      <c r="P28" s="391"/>
    </row>
  </sheetData>
  <mergeCells count="8">
    <mergeCell ref="A21:P21"/>
    <mergeCell ref="A20:P20"/>
    <mergeCell ref="A7:A9"/>
    <mergeCell ref="B7:P7"/>
    <mergeCell ref="B8:D8"/>
    <mergeCell ref="F8:H8"/>
    <mergeCell ref="J8:L8"/>
    <mergeCell ref="N8:P8"/>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84"/>
  <sheetViews>
    <sheetView zoomScaleNormal="100" workbookViewId="0">
      <selection activeCell="A4" sqref="A4"/>
    </sheetView>
  </sheetViews>
  <sheetFormatPr defaultColWidth="17.26953125" defaultRowHeight="9"/>
  <cols>
    <col min="1" max="1" width="12.26953125" style="62" customWidth="1"/>
    <col min="2" max="2" width="8.26953125" style="62" bestFit="1" customWidth="1"/>
    <col min="3" max="3" width="7" style="62" customWidth="1"/>
    <col min="4" max="4" width="6.26953125" style="62" customWidth="1"/>
    <col min="5" max="5" width="5.453125" style="62" customWidth="1"/>
    <col min="6" max="6" width="6.26953125" style="62" customWidth="1"/>
    <col min="7" max="7" width="8.7265625" style="62" customWidth="1"/>
    <col min="8" max="8" width="10.453125" style="62" customWidth="1"/>
    <col min="9" max="9" width="10.54296875" style="62" customWidth="1"/>
    <col min="10" max="10" width="5" style="62" customWidth="1"/>
    <col min="11" max="11" width="6.7265625" style="62" customWidth="1"/>
    <col min="12" max="12" width="5" style="62" customWidth="1"/>
    <col min="13" max="13" width="7.7265625" style="62" customWidth="1"/>
    <col min="14" max="14" width="4.7265625" style="62" bestFit="1" customWidth="1"/>
    <col min="15" max="16384" width="17.26953125" style="62"/>
  </cols>
  <sheetData>
    <row r="1" spans="1:14" s="41" customFormat="1" ht="12.75" customHeight="1"/>
    <row r="2" spans="1:14" s="41" customFormat="1" ht="12.75" customHeight="1"/>
    <row r="3" spans="1:14" s="41" customFormat="1" ht="12.75" customHeight="1">
      <c r="A3" s="42"/>
      <c r="B3" s="71"/>
      <c r="C3" s="72"/>
      <c r="D3" s="72"/>
      <c r="E3" s="72"/>
      <c r="F3" s="72"/>
      <c r="G3" s="72"/>
      <c r="H3" s="72"/>
      <c r="I3" s="72"/>
      <c r="J3" s="72"/>
      <c r="K3" s="72"/>
      <c r="L3" s="72"/>
      <c r="M3" s="72"/>
    </row>
    <row r="4" spans="1:14" s="44" customFormat="1" ht="12" customHeight="1">
      <c r="A4" s="43" t="s">
        <v>30</v>
      </c>
      <c r="B4" s="73"/>
      <c r="C4" s="73"/>
      <c r="D4" s="73"/>
      <c r="E4" s="73"/>
      <c r="F4" s="73"/>
      <c r="G4" s="73"/>
      <c r="H4" s="73"/>
      <c r="I4" s="73"/>
      <c r="J4" s="73"/>
      <c r="K4" s="73"/>
      <c r="L4" s="73"/>
    </row>
    <row r="5" spans="1:14" s="44" customFormat="1" ht="12" customHeight="1">
      <c r="A5" s="692" t="s">
        <v>399</v>
      </c>
      <c r="B5" s="692"/>
      <c r="C5" s="692"/>
      <c r="D5" s="692"/>
      <c r="E5" s="692"/>
      <c r="F5" s="692"/>
      <c r="G5" s="692"/>
      <c r="H5" s="692"/>
      <c r="I5" s="692"/>
      <c r="J5" s="692"/>
      <c r="K5" s="692"/>
      <c r="L5" s="692"/>
      <c r="M5" s="692"/>
    </row>
    <row r="6" spans="1:14" s="44" customFormat="1" ht="12" customHeight="1">
      <c r="A6" s="47" t="s">
        <v>32</v>
      </c>
      <c r="C6" s="74"/>
      <c r="D6" s="74"/>
      <c r="E6" s="74"/>
      <c r="F6" s="74"/>
      <c r="G6" s="74"/>
      <c r="H6" s="74"/>
      <c r="I6" s="74"/>
      <c r="J6" s="74"/>
      <c r="K6" s="74"/>
      <c r="L6" s="74"/>
      <c r="M6" s="74"/>
    </row>
    <row r="7" spans="1:14" s="41" customFormat="1" ht="6" customHeight="1">
      <c r="A7" s="45"/>
      <c r="B7" s="46"/>
      <c r="C7" s="46"/>
      <c r="D7" s="46"/>
      <c r="E7" s="46"/>
      <c r="F7" s="46"/>
      <c r="G7" s="46"/>
      <c r="H7" s="46"/>
      <c r="I7" s="46"/>
      <c r="J7" s="46"/>
      <c r="K7" s="46"/>
      <c r="L7" s="46"/>
      <c r="M7" s="46"/>
    </row>
    <row r="8" spans="1:14" s="75" customFormat="1" ht="12" customHeight="1">
      <c r="A8" s="693" t="s">
        <v>219</v>
      </c>
      <c r="B8" s="696" t="s">
        <v>58</v>
      </c>
      <c r="C8" s="699" t="s">
        <v>400</v>
      </c>
      <c r="D8" s="699"/>
      <c r="E8" s="699"/>
      <c r="F8" s="699"/>
      <c r="G8" s="699"/>
      <c r="H8" s="699"/>
      <c r="I8" s="699"/>
      <c r="J8" s="699"/>
      <c r="K8" s="699"/>
      <c r="L8" s="699"/>
      <c r="M8" s="699"/>
      <c r="N8" s="697"/>
    </row>
    <row r="9" spans="1:14" s="2" customFormat="1" ht="18" customHeight="1">
      <c r="A9" s="694"/>
      <c r="B9" s="697"/>
      <c r="C9" s="700" t="s">
        <v>401</v>
      </c>
      <c r="D9" s="700" t="s">
        <v>402</v>
      </c>
      <c r="E9" s="700" t="s">
        <v>403</v>
      </c>
      <c r="F9" s="700" t="s">
        <v>404</v>
      </c>
      <c r="G9" s="700" t="s">
        <v>405</v>
      </c>
      <c r="H9" s="700" t="s">
        <v>406</v>
      </c>
      <c r="I9" s="700" t="s">
        <v>407</v>
      </c>
      <c r="J9" s="700" t="s">
        <v>408</v>
      </c>
      <c r="K9" s="700" t="s">
        <v>409</v>
      </c>
      <c r="L9" s="700" t="s">
        <v>410</v>
      </c>
      <c r="M9" s="703" t="s">
        <v>411</v>
      </c>
      <c r="N9" s="697"/>
    </row>
    <row r="10" spans="1:14" s="2" customFormat="1" ht="20.25" customHeight="1">
      <c r="A10" s="695"/>
      <c r="B10" s="698"/>
      <c r="C10" s="701"/>
      <c r="D10" s="701"/>
      <c r="E10" s="701"/>
      <c r="F10" s="701"/>
      <c r="G10" s="701"/>
      <c r="H10" s="701"/>
      <c r="I10" s="701"/>
      <c r="J10" s="701"/>
      <c r="K10" s="702"/>
      <c r="L10" s="701"/>
      <c r="M10" s="701"/>
      <c r="N10" s="697"/>
    </row>
    <row r="11" spans="1:14" s="80" customFormat="1" ht="3" customHeight="1">
      <c r="A11" s="76"/>
      <c r="B11" s="77"/>
      <c r="C11" s="78"/>
      <c r="D11" s="78"/>
      <c r="E11" s="78"/>
      <c r="F11" s="78"/>
      <c r="G11" s="78"/>
      <c r="H11" s="78"/>
      <c r="I11" s="78"/>
      <c r="J11" s="78"/>
      <c r="K11" s="78"/>
      <c r="L11" s="78"/>
      <c r="M11" s="79"/>
    </row>
    <row r="12" spans="1:14" s="80" customFormat="1" ht="9" customHeight="1">
      <c r="A12" s="121">
        <v>2019</v>
      </c>
      <c r="B12" s="70">
        <v>2301912</v>
      </c>
      <c r="C12" s="70">
        <v>318</v>
      </c>
      <c r="D12" s="70">
        <v>1019</v>
      </c>
      <c r="E12" s="70">
        <v>64891</v>
      </c>
      <c r="F12" s="70">
        <v>4884</v>
      </c>
      <c r="G12" s="70">
        <v>524</v>
      </c>
      <c r="H12" s="70">
        <v>1071776</v>
      </c>
      <c r="I12" s="70">
        <v>24276</v>
      </c>
      <c r="J12" s="70">
        <v>8997</v>
      </c>
      <c r="K12" s="70">
        <v>212106</v>
      </c>
      <c r="L12" s="70">
        <v>16159</v>
      </c>
      <c r="M12" s="70">
        <v>39290</v>
      </c>
      <c r="N12" s="81"/>
    </row>
    <row r="13" spans="1:14" s="80" customFormat="1" ht="9" customHeight="1">
      <c r="A13" s="121">
        <v>2020</v>
      </c>
      <c r="B13" s="70">
        <v>1900624</v>
      </c>
      <c r="C13" s="70">
        <v>289</v>
      </c>
      <c r="D13" s="70">
        <v>876</v>
      </c>
      <c r="E13" s="70">
        <v>53708</v>
      </c>
      <c r="F13" s="70">
        <v>4499</v>
      </c>
      <c r="G13" s="70">
        <v>380</v>
      </c>
      <c r="H13" s="70">
        <v>721680</v>
      </c>
      <c r="I13" s="70">
        <v>20000</v>
      </c>
      <c r="J13" s="70">
        <v>8722</v>
      </c>
      <c r="K13" s="70">
        <v>248218</v>
      </c>
      <c r="L13" s="70">
        <v>12209</v>
      </c>
      <c r="M13" s="70">
        <v>35149</v>
      </c>
      <c r="N13" s="81"/>
    </row>
    <row r="14" spans="1:14" s="80" customFormat="1" ht="9" customHeight="1">
      <c r="A14" s="121">
        <v>2021</v>
      </c>
      <c r="B14" s="70">
        <v>2104114</v>
      </c>
      <c r="C14" s="70">
        <v>304</v>
      </c>
      <c r="D14" s="70">
        <v>928</v>
      </c>
      <c r="E14" s="70">
        <v>58794</v>
      </c>
      <c r="F14" s="70">
        <v>5274</v>
      </c>
      <c r="G14" s="70">
        <v>368</v>
      </c>
      <c r="H14" s="70">
        <v>811578</v>
      </c>
      <c r="I14" s="70">
        <v>22093</v>
      </c>
      <c r="J14" s="70">
        <v>10051</v>
      </c>
      <c r="K14" s="70">
        <v>294649</v>
      </c>
      <c r="L14" s="70">
        <v>12331</v>
      </c>
      <c r="M14" s="70">
        <v>31159</v>
      </c>
      <c r="N14" s="81"/>
    </row>
    <row r="15" spans="1:14" s="80" customFormat="1" ht="9" customHeight="1">
      <c r="A15" s="121">
        <v>2022</v>
      </c>
      <c r="B15" s="70">
        <v>2255777</v>
      </c>
      <c r="C15" s="70">
        <v>331</v>
      </c>
      <c r="D15" s="70">
        <v>1018</v>
      </c>
      <c r="E15" s="70">
        <v>61958</v>
      </c>
      <c r="F15" s="70">
        <v>6293</v>
      </c>
      <c r="G15" s="70">
        <v>365</v>
      </c>
      <c r="H15" s="70">
        <v>963032</v>
      </c>
      <c r="I15" s="70">
        <v>25642</v>
      </c>
      <c r="J15" s="70">
        <v>12057</v>
      </c>
      <c r="K15" s="70">
        <v>273872</v>
      </c>
      <c r="L15" s="70">
        <v>13825</v>
      </c>
      <c r="M15" s="70">
        <v>30326</v>
      </c>
      <c r="N15" s="81"/>
    </row>
    <row r="16" spans="1:14" s="80" customFormat="1" ht="3" customHeight="1">
      <c r="A16" s="76"/>
      <c r="B16" s="77"/>
      <c r="C16" s="82"/>
      <c r="D16" s="82"/>
      <c r="E16" s="82"/>
      <c r="F16" s="78"/>
      <c r="G16" s="78"/>
      <c r="H16" s="78"/>
      <c r="I16" s="78"/>
      <c r="J16" s="78"/>
      <c r="K16" s="78"/>
      <c r="L16" s="78"/>
      <c r="M16" s="83"/>
    </row>
    <row r="17" spans="1:14" s="80" customFormat="1" ht="10.15" customHeight="1">
      <c r="A17" s="84"/>
      <c r="B17" s="613" t="s">
        <v>412</v>
      </c>
      <c r="C17" s="614"/>
      <c r="D17" s="614"/>
      <c r="E17" s="614"/>
      <c r="F17" s="614"/>
      <c r="G17" s="614"/>
      <c r="H17" s="614"/>
      <c r="I17" s="614"/>
      <c r="J17" s="614"/>
      <c r="K17" s="614"/>
      <c r="L17" s="614"/>
      <c r="M17" s="614"/>
      <c r="N17" s="81"/>
    </row>
    <row r="18" spans="1:14" s="80" customFormat="1" ht="3" customHeight="1">
      <c r="A18" s="266"/>
      <c r="B18" s="266"/>
      <c r="C18" s="266"/>
      <c r="D18" s="266"/>
      <c r="E18" s="266"/>
      <c r="F18" s="266"/>
      <c r="G18" s="266"/>
      <c r="H18" s="266"/>
      <c r="I18" s="266"/>
      <c r="J18" s="266"/>
      <c r="K18" s="266"/>
      <c r="L18" s="266"/>
      <c r="M18" s="266"/>
    </row>
    <row r="19" spans="1:14" s="80" customFormat="1" ht="10.15" customHeight="1">
      <c r="A19" s="79"/>
      <c r="B19" s="614" t="s">
        <v>60</v>
      </c>
      <c r="C19" s="614"/>
      <c r="D19" s="614"/>
      <c r="E19" s="614"/>
      <c r="F19" s="614"/>
      <c r="G19" s="614"/>
      <c r="H19" s="614"/>
      <c r="I19" s="614"/>
      <c r="J19" s="614"/>
      <c r="K19" s="614"/>
      <c r="L19" s="614"/>
      <c r="M19" s="614"/>
    </row>
    <row r="20" spans="1:14" s="80" customFormat="1" ht="3" customHeight="1">
      <c r="A20" s="76"/>
      <c r="B20" s="85"/>
      <c r="C20" s="78"/>
      <c r="D20" s="78"/>
      <c r="E20" s="78"/>
      <c r="F20" s="78"/>
      <c r="G20" s="78"/>
      <c r="H20" s="78"/>
      <c r="I20" s="78"/>
      <c r="J20" s="78"/>
      <c r="K20" s="78"/>
      <c r="L20" s="78"/>
      <c r="M20" s="79"/>
    </row>
    <row r="21" spans="1:14" s="80" customFormat="1" ht="9" customHeight="1">
      <c r="A21" s="2" t="s">
        <v>413</v>
      </c>
      <c r="B21" s="3">
        <v>187398</v>
      </c>
      <c r="C21" s="3">
        <v>22</v>
      </c>
      <c r="D21" s="3">
        <v>62</v>
      </c>
      <c r="E21" s="3">
        <v>4724</v>
      </c>
      <c r="F21" s="3">
        <v>463</v>
      </c>
      <c r="G21" s="3">
        <v>20</v>
      </c>
      <c r="H21" s="3">
        <v>72932</v>
      </c>
      <c r="I21" s="3">
        <v>2391</v>
      </c>
      <c r="J21" s="3">
        <v>795</v>
      </c>
      <c r="K21" s="3">
        <v>28450</v>
      </c>
      <c r="L21" s="3">
        <v>932</v>
      </c>
      <c r="M21" s="3">
        <v>2129</v>
      </c>
      <c r="N21" s="3"/>
    </row>
    <row r="22" spans="1:14" s="80" customFormat="1" ht="18" customHeight="1">
      <c r="A22" s="86" t="s">
        <v>287</v>
      </c>
      <c r="B22" s="3">
        <v>3709</v>
      </c>
      <c r="C22" s="3">
        <v>0</v>
      </c>
      <c r="D22" s="3">
        <v>2</v>
      </c>
      <c r="E22" s="3">
        <v>156</v>
      </c>
      <c r="F22" s="3">
        <v>15</v>
      </c>
      <c r="G22" s="3">
        <v>8</v>
      </c>
      <c r="H22" s="3">
        <v>897</v>
      </c>
      <c r="I22" s="3">
        <v>17</v>
      </c>
      <c r="J22" s="3">
        <v>31</v>
      </c>
      <c r="K22" s="3">
        <v>661</v>
      </c>
      <c r="L22" s="3">
        <v>19</v>
      </c>
      <c r="M22" s="3">
        <v>32</v>
      </c>
      <c r="N22" s="69"/>
    </row>
    <row r="23" spans="1:14" s="80" customFormat="1" ht="9" customHeight="1">
      <c r="A23" s="2" t="s">
        <v>229</v>
      </c>
      <c r="B23" s="3">
        <v>67236</v>
      </c>
      <c r="C23" s="3">
        <v>13</v>
      </c>
      <c r="D23" s="3">
        <v>35</v>
      </c>
      <c r="E23" s="3">
        <v>2237</v>
      </c>
      <c r="F23" s="3">
        <v>202</v>
      </c>
      <c r="G23" s="3">
        <v>11</v>
      </c>
      <c r="H23" s="3">
        <v>23937</v>
      </c>
      <c r="I23" s="3">
        <v>896</v>
      </c>
      <c r="J23" s="3">
        <v>261</v>
      </c>
      <c r="K23" s="3">
        <v>9067</v>
      </c>
      <c r="L23" s="3">
        <v>612</v>
      </c>
      <c r="M23" s="3">
        <v>1296</v>
      </c>
      <c r="N23" s="3"/>
    </row>
    <row r="24" spans="1:14" s="80" customFormat="1" ht="9" customHeight="1">
      <c r="A24" s="2" t="s">
        <v>230</v>
      </c>
      <c r="B24" s="3">
        <v>456962</v>
      </c>
      <c r="C24" s="3">
        <v>42</v>
      </c>
      <c r="D24" s="3">
        <v>152</v>
      </c>
      <c r="E24" s="3">
        <v>10960</v>
      </c>
      <c r="F24" s="3">
        <v>1332</v>
      </c>
      <c r="G24" s="3">
        <v>31</v>
      </c>
      <c r="H24" s="3">
        <v>214735</v>
      </c>
      <c r="I24" s="3">
        <v>6554</v>
      </c>
      <c r="J24" s="3">
        <v>1858</v>
      </c>
      <c r="K24" s="3">
        <v>54709</v>
      </c>
      <c r="L24" s="3">
        <v>2486</v>
      </c>
      <c r="M24" s="3">
        <v>5387</v>
      </c>
      <c r="N24" s="3"/>
    </row>
    <row r="25" spans="1:14" s="80" customFormat="1" ht="18" customHeight="1">
      <c r="A25" s="87" t="s">
        <v>231</v>
      </c>
      <c r="B25" s="3">
        <v>31125</v>
      </c>
      <c r="C25" s="3">
        <v>5</v>
      </c>
      <c r="D25" s="3">
        <v>18</v>
      </c>
      <c r="E25" s="3">
        <v>1160</v>
      </c>
      <c r="F25" s="3">
        <v>153</v>
      </c>
      <c r="G25" s="3">
        <v>1</v>
      </c>
      <c r="H25" s="3">
        <v>12257</v>
      </c>
      <c r="I25" s="3">
        <v>327</v>
      </c>
      <c r="J25" s="3">
        <v>183</v>
      </c>
      <c r="K25" s="3">
        <v>3395</v>
      </c>
      <c r="L25" s="3">
        <v>267</v>
      </c>
      <c r="M25" s="3">
        <v>675</v>
      </c>
      <c r="N25" s="69"/>
    </row>
    <row r="26" spans="1:14" s="2" customFormat="1" ht="9" customHeight="1">
      <c r="A26" s="65" t="s">
        <v>232</v>
      </c>
      <c r="B26" s="4">
        <v>16693</v>
      </c>
      <c r="C26" s="4">
        <v>2</v>
      </c>
      <c r="D26" s="4">
        <v>9</v>
      </c>
      <c r="E26" s="4">
        <v>686</v>
      </c>
      <c r="F26" s="4">
        <v>86</v>
      </c>
      <c r="G26" s="4">
        <v>0</v>
      </c>
      <c r="H26" s="4">
        <v>7043</v>
      </c>
      <c r="I26" s="4">
        <v>236</v>
      </c>
      <c r="J26" s="4">
        <v>111</v>
      </c>
      <c r="K26" s="4">
        <v>1501</v>
      </c>
      <c r="L26" s="4">
        <v>193</v>
      </c>
      <c r="M26" s="4">
        <v>376</v>
      </c>
      <c r="N26" s="4"/>
    </row>
    <row r="27" spans="1:14" s="2" customFormat="1" ht="9" customHeight="1">
      <c r="A27" s="65" t="s">
        <v>75</v>
      </c>
      <c r="B27" s="4">
        <v>14410</v>
      </c>
      <c r="C27" s="4">
        <v>3</v>
      </c>
      <c r="D27" s="4">
        <v>9</v>
      </c>
      <c r="E27" s="4">
        <v>474</v>
      </c>
      <c r="F27" s="4">
        <v>66</v>
      </c>
      <c r="G27" s="4">
        <v>1</v>
      </c>
      <c r="H27" s="4">
        <v>5208</v>
      </c>
      <c r="I27" s="4">
        <v>91</v>
      </c>
      <c r="J27" s="4">
        <v>72</v>
      </c>
      <c r="K27" s="4">
        <v>1892</v>
      </c>
      <c r="L27" s="4">
        <v>74</v>
      </c>
      <c r="M27" s="4">
        <v>297</v>
      </c>
      <c r="N27" s="4"/>
    </row>
    <row r="28" spans="1:14" s="65" customFormat="1" ht="9" customHeight="1">
      <c r="A28" s="2" t="s">
        <v>233</v>
      </c>
      <c r="B28" s="3">
        <v>166136</v>
      </c>
      <c r="C28" s="3">
        <v>22</v>
      </c>
      <c r="D28" s="3">
        <v>50</v>
      </c>
      <c r="E28" s="3">
        <v>4549</v>
      </c>
      <c r="F28" s="3">
        <v>525</v>
      </c>
      <c r="G28" s="3">
        <v>19</v>
      </c>
      <c r="H28" s="3">
        <v>76585</v>
      </c>
      <c r="I28" s="3">
        <v>1665</v>
      </c>
      <c r="J28" s="3">
        <v>685</v>
      </c>
      <c r="K28" s="3">
        <v>26575</v>
      </c>
      <c r="L28" s="3">
        <v>903</v>
      </c>
      <c r="M28" s="3">
        <v>2238</v>
      </c>
      <c r="N28" s="3"/>
    </row>
    <row r="29" spans="1:14" s="65" customFormat="1" ht="9" customHeight="1">
      <c r="A29" s="2" t="s">
        <v>414</v>
      </c>
      <c r="B29" s="3">
        <v>35222</v>
      </c>
      <c r="C29" s="3">
        <v>6</v>
      </c>
      <c r="D29" s="3">
        <v>15</v>
      </c>
      <c r="E29" s="3">
        <v>1265</v>
      </c>
      <c r="F29" s="3">
        <v>156</v>
      </c>
      <c r="G29" s="3">
        <v>22</v>
      </c>
      <c r="H29" s="3">
        <v>13060</v>
      </c>
      <c r="I29" s="3">
        <v>320</v>
      </c>
      <c r="J29" s="3">
        <v>182</v>
      </c>
      <c r="K29" s="3">
        <v>7278</v>
      </c>
      <c r="L29" s="3">
        <v>213</v>
      </c>
      <c r="M29" s="3">
        <v>478</v>
      </c>
      <c r="N29" s="3"/>
    </row>
    <row r="30" spans="1:14" s="2" customFormat="1" ht="9" customHeight="1">
      <c r="A30" s="2" t="s">
        <v>235</v>
      </c>
      <c r="B30" s="3">
        <v>199500</v>
      </c>
      <c r="C30" s="3">
        <v>26</v>
      </c>
      <c r="D30" s="3">
        <v>61</v>
      </c>
      <c r="E30" s="3">
        <v>5828</v>
      </c>
      <c r="F30" s="3">
        <v>669</v>
      </c>
      <c r="G30" s="3">
        <v>20</v>
      </c>
      <c r="H30" s="3">
        <v>88263</v>
      </c>
      <c r="I30" s="3">
        <v>2387</v>
      </c>
      <c r="J30" s="3">
        <v>993</v>
      </c>
      <c r="K30" s="3">
        <v>22150</v>
      </c>
      <c r="L30" s="3">
        <v>1068</v>
      </c>
      <c r="M30" s="3">
        <v>2255</v>
      </c>
      <c r="N30" s="3"/>
    </row>
    <row r="31" spans="1:14" s="2" customFormat="1" ht="9" customHeight="1">
      <c r="A31" s="2" t="s">
        <v>236</v>
      </c>
      <c r="B31" s="3">
        <v>161232</v>
      </c>
      <c r="C31" s="3">
        <v>22</v>
      </c>
      <c r="D31" s="3">
        <v>60</v>
      </c>
      <c r="E31" s="3">
        <v>4454</v>
      </c>
      <c r="F31" s="3">
        <v>507</v>
      </c>
      <c r="G31" s="3">
        <v>22</v>
      </c>
      <c r="H31" s="3">
        <v>73544</v>
      </c>
      <c r="I31" s="3">
        <v>2323</v>
      </c>
      <c r="J31" s="3">
        <v>751</v>
      </c>
      <c r="K31" s="3">
        <v>21971</v>
      </c>
      <c r="L31" s="3">
        <v>1201</v>
      </c>
      <c r="M31" s="3">
        <v>1952</v>
      </c>
      <c r="N31" s="3"/>
    </row>
    <row r="32" spans="1:14" s="2" customFormat="1" ht="9" customHeight="1">
      <c r="A32" s="2" t="s">
        <v>237</v>
      </c>
      <c r="B32" s="3">
        <v>29094</v>
      </c>
      <c r="C32" s="3">
        <v>4</v>
      </c>
      <c r="D32" s="3">
        <v>11</v>
      </c>
      <c r="E32" s="3">
        <v>977</v>
      </c>
      <c r="F32" s="3">
        <v>82</v>
      </c>
      <c r="G32" s="3">
        <v>4</v>
      </c>
      <c r="H32" s="3">
        <v>10523</v>
      </c>
      <c r="I32" s="3">
        <v>202</v>
      </c>
      <c r="J32" s="3">
        <v>138</v>
      </c>
      <c r="K32" s="3">
        <v>4495</v>
      </c>
      <c r="L32" s="3">
        <v>169</v>
      </c>
      <c r="M32" s="3">
        <v>477</v>
      </c>
      <c r="N32" s="3"/>
    </row>
    <row r="33" spans="1:14" s="2" customFormat="1" ht="9" customHeight="1">
      <c r="A33" s="2" t="s">
        <v>238</v>
      </c>
      <c r="B33" s="3">
        <v>39643</v>
      </c>
      <c r="C33" s="3">
        <v>8</v>
      </c>
      <c r="D33" s="3">
        <v>15</v>
      </c>
      <c r="E33" s="3">
        <v>1480</v>
      </c>
      <c r="F33" s="3">
        <v>115</v>
      </c>
      <c r="G33" s="3">
        <v>3</v>
      </c>
      <c r="H33" s="3">
        <v>12204</v>
      </c>
      <c r="I33" s="3">
        <v>264</v>
      </c>
      <c r="J33" s="3">
        <v>220</v>
      </c>
      <c r="K33" s="3">
        <v>6665</v>
      </c>
      <c r="L33" s="3">
        <v>272</v>
      </c>
      <c r="M33" s="3">
        <v>623</v>
      </c>
      <c r="N33" s="3"/>
    </row>
    <row r="34" spans="1:14" s="2" customFormat="1" ht="9" customHeight="1">
      <c r="A34" s="2" t="s">
        <v>239</v>
      </c>
      <c r="B34" s="3">
        <v>303173</v>
      </c>
      <c r="C34" s="3">
        <v>36</v>
      </c>
      <c r="D34" s="3">
        <v>119</v>
      </c>
      <c r="E34" s="3">
        <v>5746</v>
      </c>
      <c r="F34" s="3">
        <v>598</v>
      </c>
      <c r="G34" s="3">
        <v>21</v>
      </c>
      <c r="H34" s="3">
        <v>162477</v>
      </c>
      <c r="I34" s="3">
        <v>3335</v>
      </c>
      <c r="J34" s="3">
        <v>1464</v>
      </c>
      <c r="K34" s="3">
        <v>31545</v>
      </c>
      <c r="L34" s="3">
        <v>1421</v>
      </c>
      <c r="M34" s="3">
        <v>4681</v>
      </c>
      <c r="N34" s="3"/>
    </row>
    <row r="35" spans="1:14" s="2" customFormat="1" ht="9" customHeight="1">
      <c r="A35" s="2" t="s">
        <v>240</v>
      </c>
      <c r="B35" s="3">
        <v>37602</v>
      </c>
      <c r="C35" s="3">
        <v>9</v>
      </c>
      <c r="D35" s="3">
        <v>15</v>
      </c>
      <c r="E35" s="3">
        <v>1226</v>
      </c>
      <c r="F35" s="3">
        <v>105</v>
      </c>
      <c r="G35" s="3">
        <v>2</v>
      </c>
      <c r="H35" s="3">
        <v>13260</v>
      </c>
      <c r="I35" s="3">
        <v>244</v>
      </c>
      <c r="J35" s="3">
        <v>214</v>
      </c>
      <c r="K35" s="3">
        <v>5275</v>
      </c>
      <c r="L35" s="3">
        <v>246</v>
      </c>
      <c r="M35" s="3">
        <v>604</v>
      </c>
      <c r="N35" s="3"/>
    </row>
    <row r="36" spans="1:14" s="2" customFormat="1" ht="9" customHeight="1">
      <c r="A36" s="2" t="s">
        <v>241</v>
      </c>
      <c r="B36" s="3">
        <v>8358</v>
      </c>
      <c r="C36" s="3">
        <v>0</v>
      </c>
      <c r="D36" s="3">
        <v>5</v>
      </c>
      <c r="E36" s="3">
        <v>262</v>
      </c>
      <c r="F36" s="3">
        <v>25</v>
      </c>
      <c r="G36" s="3">
        <v>1</v>
      </c>
      <c r="H36" s="3">
        <v>2742</v>
      </c>
      <c r="I36" s="3">
        <v>35</v>
      </c>
      <c r="J36" s="3">
        <v>48</v>
      </c>
      <c r="K36" s="3">
        <v>1305</v>
      </c>
      <c r="L36" s="3">
        <v>53</v>
      </c>
      <c r="M36" s="3">
        <v>121</v>
      </c>
      <c r="N36" s="3"/>
    </row>
    <row r="37" spans="1:14" s="2" customFormat="1" ht="9" customHeight="1">
      <c r="A37" s="2" t="s">
        <v>242</v>
      </c>
      <c r="B37" s="3">
        <v>217419</v>
      </c>
      <c r="C37" s="3">
        <v>40</v>
      </c>
      <c r="D37" s="3">
        <v>140</v>
      </c>
      <c r="E37" s="3">
        <v>5808</v>
      </c>
      <c r="F37" s="3">
        <v>343</v>
      </c>
      <c r="G37" s="3">
        <v>25</v>
      </c>
      <c r="H37" s="3">
        <v>97933</v>
      </c>
      <c r="I37" s="3">
        <v>4139</v>
      </c>
      <c r="J37" s="3">
        <v>1309</v>
      </c>
      <c r="K37" s="3">
        <v>25263</v>
      </c>
      <c r="L37" s="3">
        <v>1710</v>
      </c>
      <c r="M37" s="3">
        <v>2308</v>
      </c>
      <c r="N37" s="3"/>
    </row>
    <row r="38" spans="1:14" s="2" customFormat="1" ht="9" customHeight="1">
      <c r="A38" s="2" t="s">
        <v>243</v>
      </c>
      <c r="B38" s="3">
        <v>125080</v>
      </c>
      <c r="C38" s="3">
        <v>29</v>
      </c>
      <c r="D38" s="3">
        <v>90</v>
      </c>
      <c r="E38" s="3">
        <v>3436</v>
      </c>
      <c r="F38" s="3">
        <v>261</v>
      </c>
      <c r="G38" s="3">
        <v>24</v>
      </c>
      <c r="H38" s="3">
        <v>52532</v>
      </c>
      <c r="I38" s="3">
        <v>997</v>
      </c>
      <c r="J38" s="3">
        <v>703</v>
      </c>
      <c r="K38" s="3">
        <v>15866</v>
      </c>
      <c r="L38" s="3">
        <v>798</v>
      </c>
      <c r="M38" s="3">
        <v>2045</v>
      </c>
      <c r="N38" s="3"/>
    </row>
    <row r="39" spans="1:14" s="2" customFormat="1" ht="9" customHeight="1">
      <c r="A39" s="2" t="s">
        <v>244</v>
      </c>
      <c r="B39" s="3">
        <v>11577</v>
      </c>
      <c r="C39" s="3">
        <v>2</v>
      </c>
      <c r="D39" s="3">
        <v>7</v>
      </c>
      <c r="E39" s="3">
        <v>485</v>
      </c>
      <c r="F39" s="3">
        <v>26</v>
      </c>
      <c r="G39" s="3">
        <v>4</v>
      </c>
      <c r="H39" s="3">
        <v>2488</v>
      </c>
      <c r="I39" s="3">
        <v>44</v>
      </c>
      <c r="J39" s="3">
        <v>62</v>
      </c>
      <c r="K39" s="3">
        <v>1650</v>
      </c>
      <c r="L39" s="3">
        <v>52</v>
      </c>
      <c r="M39" s="3">
        <v>206</v>
      </c>
      <c r="N39" s="3"/>
    </row>
    <row r="40" spans="1:14" s="2" customFormat="1" ht="9" customHeight="1">
      <c r="A40" s="2" t="s">
        <v>245</v>
      </c>
      <c r="B40" s="3">
        <v>52263</v>
      </c>
      <c r="C40" s="3">
        <v>12</v>
      </c>
      <c r="D40" s="3">
        <v>43</v>
      </c>
      <c r="E40" s="3">
        <v>1695</v>
      </c>
      <c r="F40" s="3">
        <v>144</v>
      </c>
      <c r="G40" s="3">
        <v>13</v>
      </c>
      <c r="H40" s="3">
        <v>12477</v>
      </c>
      <c r="I40" s="3">
        <v>184</v>
      </c>
      <c r="J40" s="3">
        <v>334</v>
      </c>
      <c r="K40" s="3">
        <v>7291</v>
      </c>
      <c r="L40" s="3">
        <v>299</v>
      </c>
      <c r="M40" s="3">
        <v>877</v>
      </c>
      <c r="N40" s="3"/>
    </row>
    <row r="41" spans="1:14" s="2" customFormat="1" ht="9" customHeight="1">
      <c r="A41" s="2" t="s">
        <v>246</v>
      </c>
      <c r="B41" s="3">
        <v>166234</v>
      </c>
      <c r="C41" s="3">
        <v>27</v>
      </c>
      <c r="D41" s="3">
        <v>106</v>
      </c>
      <c r="E41" s="3">
        <v>5073</v>
      </c>
      <c r="F41" s="3">
        <v>383</v>
      </c>
      <c r="G41" s="3">
        <v>28</v>
      </c>
      <c r="H41" s="3">
        <v>66345</v>
      </c>
      <c r="I41" s="3">
        <v>1442</v>
      </c>
      <c r="J41" s="3">
        <v>1013</v>
      </c>
      <c r="K41" s="3">
        <v>20926</v>
      </c>
      <c r="L41" s="3">
        <v>999</v>
      </c>
      <c r="M41" s="3">
        <v>2549</v>
      </c>
      <c r="N41" s="3"/>
    </row>
    <row r="42" spans="1:14" s="2" customFormat="1" ht="9" customHeight="1">
      <c r="A42" s="2" t="s">
        <v>415</v>
      </c>
      <c r="B42" s="3">
        <v>42581</v>
      </c>
      <c r="C42" s="3">
        <v>16</v>
      </c>
      <c r="D42" s="3">
        <v>27</v>
      </c>
      <c r="E42" s="3">
        <v>1255</v>
      </c>
      <c r="F42" s="3">
        <v>127</v>
      </c>
      <c r="G42" s="3">
        <v>3</v>
      </c>
      <c r="H42" s="3">
        <v>11917</v>
      </c>
      <c r="I42" s="3">
        <v>301</v>
      </c>
      <c r="J42" s="3">
        <v>194</v>
      </c>
      <c r="K42" s="3">
        <v>7480</v>
      </c>
      <c r="L42" s="3">
        <v>252</v>
      </c>
      <c r="M42" s="3">
        <v>723</v>
      </c>
      <c r="N42" s="3"/>
    </row>
    <row r="43" spans="1:14" s="2" customFormat="1" ht="9" customHeight="1">
      <c r="A43" s="46" t="s">
        <v>248</v>
      </c>
      <c r="B43" s="68">
        <v>715305</v>
      </c>
      <c r="C43" s="68">
        <v>77</v>
      </c>
      <c r="D43" s="68">
        <v>251</v>
      </c>
      <c r="E43" s="68">
        <v>18077</v>
      </c>
      <c r="F43" s="68">
        <v>2012</v>
      </c>
      <c r="G43" s="68">
        <v>70</v>
      </c>
      <c r="H43" s="68">
        <v>312501</v>
      </c>
      <c r="I43" s="68">
        <v>9858</v>
      </c>
      <c r="J43" s="68">
        <v>2945</v>
      </c>
      <c r="K43" s="68">
        <v>92887</v>
      </c>
      <c r="L43" s="68">
        <v>4049</v>
      </c>
      <c r="M43" s="68">
        <v>8844</v>
      </c>
      <c r="N43" s="68"/>
    </row>
    <row r="44" spans="1:14" s="2" customFormat="1" ht="9" customHeight="1">
      <c r="A44" s="46" t="s">
        <v>249</v>
      </c>
      <c r="B44" s="68">
        <v>431983</v>
      </c>
      <c r="C44" s="68">
        <v>59</v>
      </c>
      <c r="D44" s="68">
        <v>144</v>
      </c>
      <c r="E44" s="68">
        <v>12802</v>
      </c>
      <c r="F44" s="68">
        <v>1503</v>
      </c>
      <c r="G44" s="68">
        <v>62</v>
      </c>
      <c r="H44" s="68">
        <v>190165</v>
      </c>
      <c r="I44" s="68">
        <v>4699</v>
      </c>
      <c r="J44" s="68">
        <v>2043</v>
      </c>
      <c r="K44" s="68">
        <v>59398</v>
      </c>
      <c r="L44" s="68">
        <v>2451</v>
      </c>
      <c r="M44" s="68">
        <v>5646</v>
      </c>
      <c r="N44" s="68"/>
    </row>
    <row r="45" spans="1:14" s="2" customFormat="1" ht="9" customHeight="1">
      <c r="A45" s="46" t="s">
        <v>250</v>
      </c>
      <c r="B45" s="68">
        <v>533142</v>
      </c>
      <c r="C45" s="68">
        <v>70</v>
      </c>
      <c r="D45" s="68">
        <v>205</v>
      </c>
      <c r="E45" s="68">
        <v>12657</v>
      </c>
      <c r="F45" s="68">
        <v>1302</v>
      </c>
      <c r="G45" s="68">
        <v>50</v>
      </c>
      <c r="H45" s="68">
        <v>258748</v>
      </c>
      <c r="I45" s="68">
        <v>6124</v>
      </c>
      <c r="J45" s="68">
        <v>2573</v>
      </c>
      <c r="K45" s="68">
        <v>64676</v>
      </c>
      <c r="L45" s="68">
        <v>3063</v>
      </c>
      <c r="M45" s="68">
        <v>7733</v>
      </c>
      <c r="N45" s="68"/>
    </row>
    <row r="46" spans="1:14" s="2" customFormat="1" ht="9" customHeight="1">
      <c r="A46" s="46" t="s">
        <v>251</v>
      </c>
      <c r="B46" s="68">
        <v>452299</v>
      </c>
      <c r="C46" s="68">
        <v>92</v>
      </c>
      <c r="D46" s="68">
        <v>300</v>
      </c>
      <c r="E46" s="68">
        <v>12912</v>
      </c>
      <c r="F46" s="68">
        <v>904</v>
      </c>
      <c r="G46" s="68">
        <v>69</v>
      </c>
      <c r="H46" s="68">
        <v>181432</v>
      </c>
      <c r="I46" s="68">
        <v>5643</v>
      </c>
      <c r="J46" s="68">
        <v>2670</v>
      </c>
      <c r="K46" s="68">
        <v>56650</v>
      </c>
      <c r="L46" s="68">
        <v>3158</v>
      </c>
      <c r="M46" s="68">
        <v>6161</v>
      </c>
      <c r="N46" s="68"/>
    </row>
    <row r="47" spans="1:14" s="2" customFormat="1" ht="9" customHeight="1">
      <c r="A47" s="46" t="s">
        <v>252</v>
      </c>
      <c r="B47" s="68">
        <v>208815</v>
      </c>
      <c r="C47" s="68">
        <v>43</v>
      </c>
      <c r="D47" s="68">
        <v>133</v>
      </c>
      <c r="E47" s="68">
        <v>6328</v>
      </c>
      <c r="F47" s="68">
        <v>510</v>
      </c>
      <c r="G47" s="68">
        <v>31</v>
      </c>
      <c r="H47" s="68">
        <v>78262</v>
      </c>
      <c r="I47" s="68">
        <v>1743</v>
      </c>
      <c r="J47" s="68">
        <v>1207</v>
      </c>
      <c r="K47" s="68">
        <v>28406</v>
      </c>
      <c r="L47" s="68">
        <v>1251</v>
      </c>
      <c r="M47" s="68">
        <v>3272</v>
      </c>
      <c r="N47" s="68"/>
    </row>
    <row r="48" spans="1:14" s="2" customFormat="1" ht="9" customHeight="1">
      <c r="A48" s="64" t="s">
        <v>253</v>
      </c>
      <c r="B48" s="68">
        <v>2341574</v>
      </c>
      <c r="C48" s="68">
        <v>341</v>
      </c>
      <c r="D48" s="68">
        <v>1033</v>
      </c>
      <c r="E48" s="68">
        <v>62776</v>
      </c>
      <c r="F48" s="68">
        <v>6231</v>
      </c>
      <c r="G48" s="68">
        <v>282</v>
      </c>
      <c r="H48" s="68">
        <v>1021116</v>
      </c>
      <c r="I48" s="68">
        <v>28067</v>
      </c>
      <c r="J48" s="68">
        <v>11438</v>
      </c>
      <c r="K48" s="68">
        <v>302020</v>
      </c>
      <c r="L48" s="68">
        <v>13973</v>
      </c>
      <c r="M48" s="68">
        <v>31656</v>
      </c>
      <c r="N48" s="68"/>
    </row>
    <row r="49" spans="1:13" s="2" customFormat="1" ht="3" customHeight="1">
      <c r="A49" s="64"/>
      <c r="C49" s="5"/>
      <c r="D49" s="5"/>
      <c r="E49" s="5"/>
      <c r="F49" s="5"/>
      <c r="G49" s="5"/>
      <c r="H49" s="5"/>
      <c r="I49" s="5"/>
      <c r="J49" s="5"/>
      <c r="K49" s="5"/>
      <c r="L49" s="5"/>
      <c r="M49" s="5"/>
    </row>
    <row r="50" spans="1:13" s="2" customFormat="1" ht="9" customHeight="1">
      <c r="A50" s="67"/>
      <c r="B50" s="689" t="s">
        <v>416</v>
      </c>
      <c r="C50" s="689"/>
      <c r="D50" s="689"/>
      <c r="E50" s="689"/>
      <c r="F50" s="689"/>
      <c r="G50" s="689"/>
      <c r="H50" s="689"/>
      <c r="I50" s="689"/>
      <c r="J50" s="689"/>
      <c r="K50" s="689"/>
      <c r="L50" s="689"/>
      <c r="M50" s="689"/>
    </row>
    <row r="51" spans="1:13" s="2" customFormat="1" ht="3" customHeight="1">
      <c r="C51" s="66"/>
      <c r="D51" s="66"/>
      <c r="E51" s="66"/>
      <c r="F51" s="66"/>
      <c r="G51" s="66"/>
      <c r="H51" s="66"/>
      <c r="I51" s="66"/>
      <c r="J51" s="66"/>
      <c r="K51" s="66"/>
      <c r="L51" s="66"/>
      <c r="M51" s="66"/>
    </row>
    <row r="52" spans="1:13" s="2" customFormat="1" ht="9" customHeight="1">
      <c r="A52" s="2" t="s">
        <v>413</v>
      </c>
      <c r="B52" s="265">
        <v>4407.3</v>
      </c>
      <c r="C52" s="1">
        <v>0.5</v>
      </c>
      <c r="D52" s="1">
        <v>1.5</v>
      </c>
      <c r="E52" s="1">
        <v>111.1</v>
      </c>
      <c r="F52" s="1">
        <v>10.9</v>
      </c>
      <c r="G52" s="1">
        <v>0.5</v>
      </c>
      <c r="H52" s="1">
        <v>1715.3</v>
      </c>
      <c r="I52" s="1">
        <v>56.2</v>
      </c>
      <c r="J52" s="1">
        <v>18.7</v>
      </c>
      <c r="K52" s="1">
        <v>669.1</v>
      </c>
      <c r="L52" s="1">
        <v>21.9</v>
      </c>
      <c r="M52" s="1">
        <v>50.1</v>
      </c>
    </row>
    <row r="53" spans="1:13" s="2" customFormat="1" ht="18" customHeight="1">
      <c r="A53" s="86" t="s">
        <v>287</v>
      </c>
      <c r="B53" s="1">
        <v>3013.6</v>
      </c>
      <c r="C53" s="1">
        <v>0</v>
      </c>
      <c r="D53" s="1">
        <v>1.6</v>
      </c>
      <c r="E53" s="1">
        <v>126.8</v>
      </c>
      <c r="F53" s="1">
        <v>12.2</v>
      </c>
      <c r="G53" s="1">
        <v>6.5</v>
      </c>
      <c r="H53" s="1">
        <v>728.8</v>
      </c>
      <c r="I53" s="1">
        <v>13.8</v>
      </c>
      <c r="J53" s="1">
        <v>25.2</v>
      </c>
      <c r="K53" s="1">
        <v>537.1</v>
      </c>
      <c r="L53" s="1">
        <v>15.4</v>
      </c>
      <c r="M53" s="1">
        <v>26</v>
      </c>
    </row>
    <row r="54" spans="1:13" s="2" customFormat="1" ht="9" customHeight="1">
      <c r="A54" s="2" t="s">
        <v>229</v>
      </c>
      <c r="B54" s="1">
        <v>4457.8999999999996</v>
      </c>
      <c r="C54" s="1">
        <v>0.9</v>
      </c>
      <c r="D54" s="1">
        <v>2.2999999999999998</v>
      </c>
      <c r="E54" s="1">
        <v>148.30000000000001</v>
      </c>
      <c r="F54" s="1">
        <v>13.4</v>
      </c>
      <c r="G54" s="1">
        <v>0.7</v>
      </c>
      <c r="H54" s="1">
        <v>1587.1</v>
      </c>
      <c r="I54" s="1">
        <v>59.4</v>
      </c>
      <c r="J54" s="1">
        <v>17.3</v>
      </c>
      <c r="K54" s="1">
        <v>601.20000000000005</v>
      </c>
      <c r="L54" s="1">
        <v>40.6</v>
      </c>
      <c r="M54" s="1">
        <v>85.9</v>
      </c>
    </row>
    <row r="55" spans="1:13" s="2" customFormat="1" ht="9" customHeight="1">
      <c r="A55" s="2" t="s">
        <v>230</v>
      </c>
      <c r="B55" s="1">
        <v>4570.3</v>
      </c>
      <c r="C55" s="1">
        <v>0.4</v>
      </c>
      <c r="D55" s="1">
        <v>1.5</v>
      </c>
      <c r="E55" s="1">
        <v>109.6</v>
      </c>
      <c r="F55" s="1">
        <v>13.3</v>
      </c>
      <c r="G55" s="1">
        <v>0.3</v>
      </c>
      <c r="H55" s="1">
        <v>2147.6999999999998</v>
      </c>
      <c r="I55" s="1">
        <v>65.5</v>
      </c>
      <c r="J55" s="1">
        <v>18.600000000000001</v>
      </c>
      <c r="K55" s="1">
        <v>547.20000000000005</v>
      </c>
      <c r="L55" s="1">
        <v>24.9</v>
      </c>
      <c r="M55" s="1">
        <v>53.9</v>
      </c>
    </row>
    <row r="56" spans="1:13" s="2" customFormat="1" ht="18" customHeight="1">
      <c r="A56" s="87" t="s">
        <v>231</v>
      </c>
      <c r="B56" s="1">
        <v>2882.9</v>
      </c>
      <c r="C56" s="1">
        <v>0.5</v>
      </c>
      <c r="D56" s="1">
        <v>1.7</v>
      </c>
      <c r="E56" s="1">
        <v>107.4</v>
      </c>
      <c r="F56" s="1">
        <v>14.2</v>
      </c>
      <c r="G56" s="1">
        <v>0.1</v>
      </c>
      <c r="H56" s="1">
        <v>1135.3</v>
      </c>
      <c r="I56" s="1">
        <v>30.3</v>
      </c>
      <c r="J56" s="1">
        <v>17</v>
      </c>
      <c r="K56" s="1">
        <v>314.5</v>
      </c>
      <c r="L56" s="1">
        <v>24.7</v>
      </c>
      <c r="M56" s="1">
        <v>62.5</v>
      </c>
    </row>
    <row r="57" spans="1:13" s="2" customFormat="1" ht="9" customHeight="1">
      <c r="A57" s="65" t="s">
        <v>232</v>
      </c>
      <c r="B57" s="59">
        <v>3117</v>
      </c>
      <c r="C57" s="59">
        <v>0.4</v>
      </c>
      <c r="D57" s="59">
        <v>1.7</v>
      </c>
      <c r="E57" s="59">
        <v>128.1</v>
      </c>
      <c r="F57" s="59">
        <v>16.100000000000001</v>
      </c>
      <c r="G57" s="59">
        <v>0</v>
      </c>
      <c r="H57" s="59">
        <v>1315.1</v>
      </c>
      <c r="I57" s="59">
        <v>44.1</v>
      </c>
      <c r="J57" s="59">
        <v>20.7</v>
      </c>
      <c r="K57" s="59">
        <v>280.3</v>
      </c>
      <c r="L57" s="59">
        <v>36</v>
      </c>
      <c r="M57" s="59">
        <v>70.2</v>
      </c>
    </row>
    <row r="58" spans="1:13" s="2" customFormat="1" ht="9" customHeight="1">
      <c r="A58" s="65" t="s">
        <v>75</v>
      </c>
      <c r="B58" s="59">
        <v>2648.5</v>
      </c>
      <c r="C58" s="59">
        <v>0.6</v>
      </c>
      <c r="D58" s="59">
        <v>1.7</v>
      </c>
      <c r="E58" s="59">
        <v>87.1</v>
      </c>
      <c r="F58" s="59">
        <v>12.1</v>
      </c>
      <c r="G58" s="59">
        <v>0.2</v>
      </c>
      <c r="H58" s="59">
        <v>957.2</v>
      </c>
      <c r="I58" s="59">
        <v>16.7</v>
      </c>
      <c r="J58" s="59">
        <v>13.2</v>
      </c>
      <c r="K58" s="59">
        <v>347.7</v>
      </c>
      <c r="L58" s="59">
        <v>13.6</v>
      </c>
      <c r="M58" s="59">
        <v>54.6</v>
      </c>
    </row>
    <row r="59" spans="1:13" s="2" customFormat="1" ht="9" customHeight="1">
      <c r="A59" s="2" t="s">
        <v>233</v>
      </c>
      <c r="B59" s="1">
        <v>3424.9</v>
      </c>
      <c r="C59" s="1">
        <v>0.5</v>
      </c>
      <c r="D59" s="1">
        <v>1</v>
      </c>
      <c r="E59" s="1">
        <v>93.8</v>
      </c>
      <c r="F59" s="1">
        <v>10.8</v>
      </c>
      <c r="G59" s="1">
        <v>0.4</v>
      </c>
      <c r="H59" s="1">
        <v>1578.8</v>
      </c>
      <c r="I59" s="1">
        <v>34.299999999999997</v>
      </c>
      <c r="J59" s="1">
        <v>14.1</v>
      </c>
      <c r="K59" s="1">
        <v>547.9</v>
      </c>
      <c r="L59" s="1">
        <v>18.600000000000001</v>
      </c>
      <c r="M59" s="1">
        <v>46.1</v>
      </c>
    </row>
    <row r="60" spans="1:13" s="2" customFormat="1" ht="9" customHeight="1">
      <c r="A60" s="2" t="s">
        <v>414</v>
      </c>
      <c r="B60" s="1">
        <v>2947.4</v>
      </c>
      <c r="C60" s="1">
        <v>0.5</v>
      </c>
      <c r="D60" s="1">
        <v>1.3</v>
      </c>
      <c r="E60" s="1">
        <v>105.9</v>
      </c>
      <c r="F60" s="1">
        <v>13.1</v>
      </c>
      <c r="G60" s="1">
        <v>1.8</v>
      </c>
      <c r="H60" s="1">
        <v>1092.9000000000001</v>
      </c>
      <c r="I60" s="1">
        <v>26.8</v>
      </c>
      <c r="J60" s="1">
        <v>15.2</v>
      </c>
      <c r="K60" s="1">
        <v>609</v>
      </c>
      <c r="L60" s="1">
        <v>17.8</v>
      </c>
      <c r="M60" s="1">
        <v>40</v>
      </c>
    </row>
    <row r="61" spans="1:13" s="2" customFormat="1" ht="9" customHeight="1">
      <c r="A61" s="2" t="s">
        <v>235</v>
      </c>
      <c r="B61" s="1">
        <v>4486.8</v>
      </c>
      <c r="C61" s="1">
        <v>0.6</v>
      </c>
      <c r="D61" s="1">
        <v>1.4</v>
      </c>
      <c r="E61" s="1">
        <v>131.1</v>
      </c>
      <c r="F61" s="1">
        <v>15</v>
      </c>
      <c r="G61" s="1">
        <v>0.4</v>
      </c>
      <c r="H61" s="1">
        <v>1985.1</v>
      </c>
      <c r="I61" s="1">
        <v>53.7</v>
      </c>
      <c r="J61" s="1">
        <v>22.3</v>
      </c>
      <c r="K61" s="1">
        <v>498.2</v>
      </c>
      <c r="L61" s="1">
        <v>24</v>
      </c>
      <c r="M61" s="1">
        <v>50.7</v>
      </c>
    </row>
    <row r="62" spans="1:13" s="2" customFormat="1" ht="9" customHeight="1">
      <c r="A62" s="2" t="s">
        <v>236</v>
      </c>
      <c r="B62" s="1">
        <v>4401.2</v>
      </c>
      <c r="C62" s="1">
        <v>0.6</v>
      </c>
      <c r="D62" s="1">
        <v>1.6</v>
      </c>
      <c r="E62" s="1">
        <v>121.6</v>
      </c>
      <c r="F62" s="1">
        <v>13.8</v>
      </c>
      <c r="G62" s="1">
        <v>0.6</v>
      </c>
      <c r="H62" s="1">
        <v>2007.5</v>
      </c>
      <c r="I62" s="1">
        <v>63.4</v>
      </c>
      <c r="J62" s="1">
        <v>20.5</v>
      </c>
      <c r="K62" s="1">
        <v>599.70000000000005</v>
      </c>
      <c r="L62" s="1">
        <v>32.799999999999997</v>
      </c>
      <c r="M62" s="1">
        <v>53.3</v>
      </c>
    </row>
    <row r="63" spans="1:13" s="2" customFormat="1" ht="9" customHeight="1">
      <c r="A63" s="2" t="s">
        <v>237</v>
      </c>
      <c r="B63" s="1">
        <v>3401.2</v>
      </c>
      <c r="C63" s="1">
        <v>0.5</v>
      </c>
      <c r="D63" s="1">
        <v>1.3</v>
      </c>
      <c r="E63" s="1">
        <v>114.2</v>
      </c>
      <c r="F63" s="1">
        <v>9.6</v>
      </c>
      <c r="G63" s="1">
        <v>0.5</v>
      </c>
      <c r="H63" s="1">
        <v>1230.2</v>
      </c>
      <c r="I63" s="1">
        <v>23.6</v>
      </c>
      <c r="J63" s="1">
        <v>16.100000000000001</v>
      </c>
      <c r="K63" s="1">
        <v>525.5</v>
      </c>
      <c r="L63" s="1">
        <v>19.8</v>
      </c>
      <c r="M63" s="1">
        <v>55.8</v>
      </c>
    </row>
    <row r="64" spans="1:13" s="2" customFormat="1" ht="9" customHeight="1">
      <c r="A64" s="2" t="s">
        <v>238</v>
      </c>
      <c r="B64" s="1">
        <v>2670.7</v>
      </c>
      <c r="C64" s="1">
        <v>0.5</v>
      </c>
      <c r="D64" s="1">
        <v>1</v>
      </c>
      <c r="E64" s="1">
        <v>99.7</v>
      </c>
      <c r="F64" s="1">
        <v>7.7</v>
      </c>
      <c r="G64" s="1">
        <v>0.2</v>
      </c>
      <c r="H64" s="1">
        <v>822.2</v>
      </c>
      <c r="I64" s="1">
        <v>17.8</v>
      </c>
      <c r="J64" s="1">
        <v>14.8</v>
      </c>
      <c r="K64" s="1">
        <v>449</v>
      </c>
      <c r="L64" s="1">
        <v>18.3</v>
      </c>
      <c r="M64" s="1">
        <v>42</v>
      </c>
    </row>
    <row r="65" spans="1:13" s="2" customFormat="1" ht="9" customHeight="1">
      <c r="A65" s="2" t="s">
        <v>239</v>
      </c>
      <c r="B65" s="1">
        <v>5299.9</v>
      </c>
      <c r="C65" s="1">
        <v>0.6</v>
      </c>
      <c r="D65" s="1">
        <v>2.1</v>
      </c>
      <c r="E65" s="1">
        <v>100.4</v>
      </c>
      <c r="F65" s="1">
        <v>10.5</v>
      </c>
      <c r="G65" s="1">
        <v>0.4</v>
      </c>
      <c r="H65" s="1">
        <v>2840.3</v>
      </c>
      <c r="I65" s="1">
        <v>58.3</v>
      </c>
      <c r="J65" s="1">
        <v>25.6</v>
      </c>
      <c r="K65" s="1">
        <v>551.4</v>
      </c>
      <c r="L65" s="1">
        <v>24.8</v>
      </c>
      <c r="M65" s="1">
        <v>81.8</v>
      </c>
    </row>
    <row r="66" spans="1:13" s="2" customFormat="1" ht="9" customHeight="1">
      <c r="A66" s="2" t="s">
        <v>240</v>
      </c>
      <c r="B66" s="1">
        <v>2957.8</v>
      </c>
      <c r="C66" s="1">
        <v>0.7</v>
      </c>
      <c r="D66" s="1">
        <v>1.2</v>
      </c>
      <c r="E66" s="1">
        <v>96.4</v>
      </c>
      <c r="F66" s="1">
        <v>8.3000000000000007</v>
      </c>
      <c r="G66" s="1">
        <v>0.2</v>
      </c>
      <c r="H66" s="1">
        <v>1043</v>
      </c>
      <c r="I66" s="1">
        <v>19.2</v>
      </c>
      <c r="J66" s="1">
        <v>16.8</v>
      </c>
      <c r="K66" s="1">
        <v>414.9</v>
      </c>
      <c r="L66" s="1">
        <v>19.399999999999999</v>
      </c>
      <c r="M66" s="1">
        <v>47.5</v>
      </c>
    </row>
    <row r="67" spans="1:13" s="2" customFormat="1" ht="9" customHeight="1">
      <c r="A67" s="2" t="s">
        <v>241</v>
      </c>
      <c r="B67" s="1">
        <v>2881.8</v>
      </c>
      <c r="C67" s="1">
        <v>0</v>
      </c>
      <c r="D67" s="1">
        <v>1.7</v>
      </c>
      <c r="E67" s="1">
        <v>90.3</v>
      </c>
      <c r="F67" s="1">
        <v>8.6</v>
      </c>
      <c r="G67" s="1">
        <v>0.3</v>
      </c>
      <c r="H67" s="1">
        <v>945.4</v>
      </c>
      <c r="I67" s="1">
        <v>12.1</v>
      </c>
      <c r="J67" s="1">
        <v>16.600000000000001</v>
      </c>
      <c r="K67" s="1">
        <v>450</v>
      </c>
      <c r="L67" s="1">
        <v>18.3</v>
      </c>
      <c r="M67" s="1">
        <v>41.7</v>
      </c>
    </row>
    <row r="68" spans="1:13" s="2" customFormat="1" ht="9" customHeight="1">
      <c r="A68" s="2" t="s">
        <v>242</v>
      </c>
      <c r="B68" s="1">
        <v>3882.6</v>
      </c>
      <c r="C68" s="1">
        <v>0.7</v>
      </c>
      <c r="D68" s="1">
        <v>2.5</v>
      </c>
      <c r="E68" s="1">
        <v>103.7</v>
      </c>
      <c r="F68" s="1">
        <v>6.1</v>
      </c>
      <c r="G68" s="1">
        <v>0.4</v>
      </c>
      <c r="H68" s="1">
        <v>1748.9</v>
      </c>
      <c r="I68" s="1">
        <v>73.900000000000006</v>
      </c>
      <c r="J68" s="1">
        <v>23.4</v>
      </c>
      <c r="K68" s="1">
        <v>451.1</v>
      </c>
      <c r="L68" s="1">
        <v>30.5</v>
      </c>
      <c r="M68" s="1">
        <v>41.2</v>
      </c>
    </row>
    <row r="69" spans="1:13" s="2" customFormat="1" ht="9" customHeight="1">
      <c r="A69" s="2" t="s">
        <v>243</v>
      </c>
      <c r="B69" s="1">
        <v>3208</v>
      </c>
      <c r="C69" s="1">
        <v>0.7</v>
      </c>
      <c r="D69" s="1">
        <v>2.2999999999999998</v>
      </c>
      <c r="E69" s="1">
        <v>88.1</v>
      </c>
      <c r="F69" s="1">
        <v>6.7</v>
      </c>
      <c r="G69" s="1">
        <v>0.6</v>
      </c>
      <c r="H69" s="1">
        <v>1347.3</v>
      </c>
      <c r="I69" s="1">
        <v>25.6</v>
      </c>
      <c r="J69" s="1">
        <v>18</v>
      </c>
      <c r="K69" s="1">
        <v>406.9</v>
      </c>
      <c r="L69" s="1">
        <v>20.5</v>
      </c>
      <c r="M69" s="1">
        <v>52.4</v>
      </c>
    </row>
    <row r="70" spans="1:13" s="2" customFormat="1" ht="9" customHeight="1">
      <c r="A70" s="2" t="s">
        <v>244</v>
      </c>
      <c r="B70" s="1">
        <v>2161.5</v>
      </c>
      <c r="C70" s="1">
        <v>0.4</v>
      </c>
      <c r="D70" s="1">
        <v>1.3</v>
      </c>
      <c r="E70" s="1">
        <v>90.6</v>
      </c>
      <c r="F70" s="1">
        <v>4.9000000000000004</v>
      </c>
      <c r="G70" s="1">
        <v>0.7</v>
      </c>
      <c r="H70" s="1">
        <v>464.5</v>
      </c>
      <c r="I70" s="1">
        <v>8.1999999999999993</v>
      </c>
      <c r="J70" s="1">
        <v>11.6</v>
      </c>
      <c r="K70" s="1">
        <v>308.10000000000002</v>
      </c>
      <c r="L70" s="1">
        <v>9.6999999999999993</v>
      </c>
      <c r="M70" s="1">
        <v>38.5</v>
      </c>
    </row>
    <row r="71" spans="1:13" s="2" customFormat="1" ht="9" customHeight="1">
      <c r="A71" s="2" t="s">
        <v>245</v>
      </c>
      <c r="B71" s="1">
        <v>2836.7</v>
      </c>
      <c r="C71" s="1">
        <v>0.7</v>
      </c>
      <c r="D71" s="1">
        <v>2.2999999999999998</v>
      </c>
      <c r="E71" s="1">
        <v>92</v>
      </c>
      <c r="F71" s="1">
        <v>7.8</v>
      </c>
      <c r="G71" s="1">
        <v>0.7</v>
      </c>
      <c r="H71" s="1">
        <v>677.2</v>
      </c>
      <c r="I71" s="1">
        <v>10</v>
      </c>
      <c r="J71" s="1">
        <v>18.100000000000001</v>
      </c>
      <c r="K71" s="1">
        <v>395.7</v>
      </c>
      <c r="L71" s="1">
        <v>16.2</v>
      </c>
      <c r="M71" s="1">
        <v>47.6</v>
      </c>
    </row>
    <row r="72" spans="1:13" s="2" customFormat="1" ht="9" customHeight="1">
      <c r="A72" s="2" t="s">
        <v>246</v>
      </c>
      <c r="B72" s="1">
        <v>3460.1</v>
      </c>
      <c r="C72" s="1">
        <v>0.6</v>
      </c>
      <c r="D72" s="1">
        <v>2.2000000000000002</v>
      </c>
      <c r="E72" s="1">
        <v>105.6</v>
      </c>
      <c r="F72" s="1">
        <v>8</v>
      </c>
      <c r="G72" s="1">
        <v>0.6</v>
      </c>
      <c r="H72" s="1">
        <v>1381</v>
      </c>
      <c r="I72" s="1">
        <v>30</v>
      </c>
      <c r="J72" s="1">
        <v>21.1</v>
      </c>
      <c r="K72" s="1">
        <v>435.6</v>
      </c>
      <c r="L72" s="1">
        <v>20.8</v>
      </c>
      <c r="M72" s="1">
        <v>53.1</v>
      </c>
    </row>
    <row r="73" spans="1:13" s="2" customFormat="1" ht="9" customHeight="1">
      <c r="A73" s="2" t="s">
        <v>415</v>
      </c>
      <c r="B73" s="1">
        <v>2708</v>
      </c>
      <c r="C73" s="1">
        <v>1</v>
      </c>
      <c r="D73" s="1">
        <v>1.7</v>
      </c>
      <c r="E73" s="1">
        <v>79.8</v>
      </c>
      <c r="F73" s="1">
        <v>8.1</v>
      </c>
      <c r="G73" s="1">
        <v>0.2</v>
      </c>
      <c r="H73" s="1">
        <v>757.9</v>
      </c>
      <c r="I73" s="1">
        <v>19.100000000000001</v>
      </c>
      <c r="J73" s="1">
        <v>12.3</v>
      </c>
      <c r="K73" s="1">
        <v>475.7</v>
      </c>
      <c r="L73" s="1">
        <v>16</v>
      </c>
      <c r="M73" s="1">
        <v>46</v>
      </c>
    </row>
    <row r="74" spans="1:13" s="2" customFormat="1" ht="9" customHeight="1">
      <c r="A74" s="46" t="s">
        <v>248</v>
      </c>
      <c r="B74" s="6">
        <v>4503.8999999999996</v>
      </c>
      <c r="C74" s="6">
        <v>0.5</v>
      </c>
      <c r="D74" s="6">
        <v>1.6</v>
      </c>
      <c r="E74" s="6">
        <v>113.8</v>
      </c>
      <c r="F74" s="6">
        <v>12.7</v>
      </c>
      <c r="G74" s="6">
        <v>0.4</v>
      </c>
      <c r="H74" s="6">
        <v>1967.7</v>
      </c>
      <c r="I74" s="6">
        <v>62.1</v>
      </c>
      <c r="J74" s="6">
        <v>18.5</v>
      </c>
      <c r="K74" s="6">
        <v>584.9</v>
      </c>
      <c r="L74" s="6">
        <v>25.5</v>
      </c>
      <c r="M74" s="6">
        <v>55.7</v>
      </c>
    </row>
    <row r="75" spans="1:13" s="2" customFormat="1" ht="9" customHeight="1">
      <c r="A75" s="46" t="s">
        <v>249</v>
      </c>
      <c r="B75" s="6">
        <v>3733.1</v>
      </c>
      <c r="C75" s="6">
        <v>0.5</v>
      </c>
      <c r="D75" s="6">
        <v>1.2</v>
      </c>
      <c r="E75" s="6">
        <v>110.6</v>
      </c>
      <c r="F75" s="6">
        <v>13</v>
      </c>
      <c r="G75" s="6">
        <v>0.5</v>
      </c>
      <c r="H75" s="6">
        <v>1643.3</v>
      </c>
      <c r="I75" s="6">
        <v>40.6</v>
      </c>
      <c r="J75" s="6">
        <v>17.7</v>
      </c>
      <c r="K75" s="6">
        <v>513.29999999999995</v>
      </c>
      <c r="L75" s="6">
        <v>21.2</v>
      </c>
      <c r="M75" s="6">
        <v>48.8</v>
      </c>
    </row>
    <row r="76" spans="1:13" s="2" customFormat="1" ht="9" customHeight="1">
      <c r="A76" s="46" t="s">
        <v>250</v>
      </c>
      <c r="B76" s="6">
        <v>4547.6000000000004</v>
      </c>
      <c r="C76" s="6">
        <v>0.6</v>
      </c>
      <c r="D76" s="6">
        <v>1.7</v>
      </c>
      <c r="E76" s="6">
        <v>108</v>
      </c>
      <c r="F76" s="6">
        <v>11.1</v>
      </c>
      <c r="G76" s="6">
        <v>0.4</v>
      </c>
      <c r="H76" s="6">
        <v>2207.1</v>
      </c>
      <c r="I76" s="6">
        <v>52.2</v>
      </c>
      <c r="J76" s="6">
        <v>21.9</v>
      </c>
      <c r="K76" s="6">
        <v>551.70000000000005</v>
      </c>
      <c r="L76" s="6">
        <v>26.1</v>
      </c>
      <c r="M76" s="6">
        <v>66</v>
      </c>
    </row>
    <row r="77" spans="1:13" s="2" customFormat="1" ht="9" customHeight="1">
      <c r="A77" s="46" t="s">
        <v>251</v>
      </c>
      <c r="B77" s="6">
        <v>3365.8</v>
      </c>
      <c r="C77" s="6">
        <v>0.7</v>
      </c>
      <c r="D77" s="6">
        <v>2.2000000000000002</v>
      </c>
      <c r="E77" s="6">
        <v>96.1</v>
      </c>
      <c r="F77" s="6">
        <v>6.7</v>
      </c>
      <c r="G77" s="6">
        <v>0.5</v>
      </c>
      <c r="H77" s="6">
        <v>1350.1</v>
      </c>
      <c r="I77" s="6">
        <v>42</v>
      </c>
      <c r="J77" s="6">
        <v>19.899999999999999</v>
      </c>
      <c r="K77" s="6">
        <v>421.6</v>
      </c>
      <c r="L77" s="6">
        <v>23.5</v>
      </c>
      <c r="M77" s="6">
        <v>45.8</v>
      </c>
    </row>
    <row r="78" spans="1:13" s="2" customFormat="1" ht="9" customHeight="1">
      <c r="A78" s="46" t="s">
        <v>252</v>
      </c>
      <c r="B78" s="6">
        <v>3273.9</v>
      </c>
      <c r="C78" s="6">
        <v>0.7</v>
      </c>
      <c r="D78" s="6">
        <v>2.1</v>
      </c>
      <c r="E78" s="6">
        <v>99.2</v>
      </c>
      <c r="F78" s="6">
        <v>8</v>
      </c>
      <c r="G78" s="6">
        <v>0.5</v>
      </c>
      <c r="H78" s="6">
        <v>1227</v>
      </c>
      <c r="I78" s="6">
        <v>27.3</v>
      </c>
      <c r="J78" s="6">
        <v>18.899999999999999</v>
      </c>
      <c r="K78" s="6">
        <v>445.4</v>
      </c>
      <c r="L78" s="6">
        <v>19.600000000000001</v>
      </c>
      <c r="M78" s="6">
        <v>51.3</v>
      </c>
    </row>
    <row r="79" spans="1:13" s="2" customFormat="1" ht="9" customHeight="1">
      <c r="A79" s="64" t="s">
        <v>253</v>
      </c>
      <c r="B79" s="6">
        <v>3969.2</v>
      </c>
      <c r="C79" s="6">
        <v>0.6</v>
      </c>
      <c r="D79" s="6">
        <v>1.8</v>
      </c>
      <c r="E79" s="6">
        <v>106.4</v>
      </c>
      <c r="F79" s="6">
        <v>10.6</v>
      </c>
      <c r="G79" s="6">
        <v>0.5</v>
      </c>
      <c r="H79" s="6">
        <v>1730.9</v>
      </c>
      <c r="I79" s="6">
        <v>47.6</v>
      </c>
      <c r="J79" s="6">
        <v>19.399999999999999</v>
      </c>
      <c r="K79" s="6">
        <v>512</v>
      </c>
      <c r="L79" s="6">
        <v>23.7</v>
      </c>
      <c r="M79" s="6">
        <v>53.7</v>
      </c>
    </row>
    <row r="80" spans="1:13" s="2" customFormat="1" ht="3" customHeight="1">
      <c r="A80" s="583"/>
      <c r="B80" s="583"/>
      <c r="C80" s="584"/>
      <c r="D80" s="584"/>
      <c r="E80" s="584"/>
      <c r="F80" s="584"/>
      <c r="G80" s="584"/>
      <c r="H80" s="584"/>
      <c r="I80" s="584"/>
      <c r="J80" s="584"/>
      <c r="K80" s="584"/>
      <c r="L80" s="584"/>
      <c r="M80" s="584"/>
    </row>
    <row r="81" spans="1:15" s="2" customFormat="1" ht="21.65" customHeight="1">
      <c r="A81" s="690" t="s">
        <v>417</v>
      </c>
      <c r="B81" s="690"/>
      <c r="C81" s="690"/>
      <c r="D81" s="690"/>
      <c r="E81" s="690"/>
      <c r="F81" s="690"/>
      <c r="G81" s="690"/>
      <c r="H81" s="690"/>
      <c r="I81" s="690"/>
      <c r="J81" s="690"/>
      <c r="K81" s="690"/>
      <c r="L81" s="690"/>
      <c r="M81" s="690"/>
      <c r="O81" s="500"/>
    </row>
    <row r="82" spans="1:15" s="2" customFormat="1" ht="18" customHeight="1">
      <c r="A82" s="691" t="s">
        <v>418</v>
      </c>
      <c r="B82" s="691"/>
      <c r="C82" s="691"/>
      <c r="D82" s="691"/>
      <c r="E82" s="691"/>
      <c r="F82" s="691"/>
      <c r="G82" s="691"/>
      <c r="H82" s="691"/>
      <c r="I82" s="691"/>
      <c r="J82" s="691"/>
      <c r="K82" s="691"/>
      <c r="L82" s="691"/>
      <c r="M82" s="691"/>
    </row>
    <row r="83" spans="1:15" s="63" customFormat="1" ht="9" customHeight="1">
      <c r="A83" s="120"/>
      <c r="O83" s="2"/>
    </row>
    <row r="84" spans="1:15" customFormat="1" ht="14.5">
      <c r="O84" s="2"/>
    </row>
  </sheetData>
  <mergeCells count="21">
    <mergeCell ref="N8:N10"/>
    <mergeCell ref="C9:C10"/>
    <mergeCell ref="D9:D10"/>
    <mergeCell ref="E9:E10"/>
    <mergeCell ref="F9:F10"/>
    <mergeCell ref="G9:G10"/>
    <mergeCell ref="M9:M10"/>
    <mergeCell ref="A5:M5"/>
    <mergeCell ref="A8:A10"/>
    <mergeCell ref="B8:B10"/>
    <mergeCell ref="C8:M8"/>
    <mergeCell ref="H9:H10"/>
    <mergeCell ref="I9:I10"/>
    <mergeCell ref="J9:J10"/>
    <mergeCell ref="K9:K10"/>
    <mergeCell ref="L9:L10"/>
    <mergeCell ref="B17:M17"/>
    <mergeCell ref="B19:M19"/>
    <mergeCell ref="B50:M50"/>
    <mergeCell ref="A81:M81"/>
    <mergeCell ref="A82:M82"/>
  </mergeCells>
  <pageMargins left="0.59055118110236227" right="0.59055118110236227" top="0.78740157480314965" bottom="0.78740157480314965" header="0" footer="0"/>
  <pageSetup paperSize="9" scale="8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U52"/>
  <sheetViews>
    <sheetView zoomScaleNormal="100" workbookViewId="0">
      <selection activeCell="A4" sqref="A4"/>
    </sheetView>
  </sheetViews>
  <sheetFormatPr defaultColWidth="8.7265625" defaultRowHeight="9"/>
  <cols>
    <col min="1" max="1" width="24.26953125" style="45" customWidth="1"/>
    <col min="2" max="2" width="7.26953125" style="45" customWidth="1"/>
    <col min="3" max="3" width="7.7265625" style="45" customWidth="1"/>
    <col min="4" max="4" width="0.7265625" style="45" customWidth="1"/>
    <col min="5" max="5" width="7.26953125" style="45" customWidth="1"/>
    <col min="6" max="6" width="7.7265625" style="45" customWidth="1"/>
    <col min="7" max="7" width="0.7265625" style="45" customWidth="1"/>
    <col min="8" max="8" width="6.26953125" style="45" customWidth="1"/>
    <col min="9" max="9" width="11" style="45" customWidth="1"/>
    <col min="10" max="10" width="0.7265625" style="45" customWidth="1"/>
    <col min="11" max="12" width="7.7265625" style="45" customWidth="1"/>
    <col min="13" max="16384" width="8.7265625" style="45"/>
  </cols>
  <sheetData>
    <row r="1" spans="1:12" s="41" customFormat="1" ht="12.75" customHeight="1"/>
    <row r="2" spans="1:12" s="41" customFormat="1" ht="12.75" customHeight="1"/>
    <row r="3" spans="1:12" s="41" customFormat="1" ht="12.75" customHeight="1">
      <c r="A3" s="42"/>
    </row>
    <row r="4" spans="1:12" s="44" customFormat="1" ht="12" customHeight="1">
      <c r="A4" s="43" t="s">
        <v>33</v>
      </c>
      <c r="B4" s="43"/>
      <c r="C4" s="43"/>
      <c r="D4" s="43"/>
      <c r="E4" s="43"/>
      <c r="F4" s="43"/>
      <c r="G4" s="43"/>
      <c r="H4" s="43"/>
      <c r="I4" s="43"/>
      <c r="J4" s="43"/>
      <c r="L4" s="43"/>
    </row>
    <row r="5" spans="1:12" s="44" customFormat="1" ht="24" customHeight="1">
      <c r="A5" s="707" t="s">
        <v>419</v>
      </c>
      <c r="B5" s="692"/>
      <c r="C5" s="692"/>
      <c r="D5" s="692"/>
      <c r="E5" s="692"/>
      <c r="F5" s="692"/>
      <c r="G5" s="692"/>
      <c r="H5" s="692"/>
      <c r="I5" s="692"/>
      <c r="J5" s="692"/>
      <c r="K5" s="692"/>
      <c r="L5" s="692"/>
    </row>
    <row r="6" spans="1:12" s="44" customFormat="1" ht="12" customHeight="1">
      <c r="A6" s="47" t="s">
        <v>11</v>
      </c>
    </row>
    <row r="7" spans="1:12" s="41" customFormat="1" ht="6" customHeight="1">
      <c r="A7" s="45"/>
      <c r="B7" s="46"/>
      <c r="C7" s="46"/>
      <c r="D7" s="46"/>
      <c r="E7" s="46"/>
      <c r="F7" s="46"/>
      <c r="G7" s="46"/>
      <c r="H7" s="46"/>
      <c r="I7" s="46"/>
      <c r="J7" s="46"/>
      <c r="K7" s="46"/>
      <c r="L7" s="46"/>
    </row>
    <row r="8" spans="1:12" ht="20.149999999999999" customHeight="1">
      <c r="A8" s="708" t="s">
        <v>219</v>
      </c>
      <c r="B8" s="711" t="s">
        <v>420</v>
      </c>
      <c r="C8" s="712"/>
      <c r="D8" s="585"/>
      <c r="E8" s="713" t="s">
        <v>421</v>
      </c>
      <c r="F8" s="713"/>
      <c r="G8" s="586"/>
      <c r="H8" s="713" t="s">
        <v>422</v>
      </c>
      <c r="I8" s="713"/>
      <c r="J8" s="713"/>
      <c r="K8" s="713"/>
      <c r="L8" s="713"/>
    </row>
    <row r="9" spans="1:12" ht="13.5" customHeight="1">
      <c r="A9" s="709"/>
      <c r="B9" s="714" t="s">
        <v>58</v>
      </c>
      <c r="C9" s="716" t="s">
        <v>423</v>
      </c>
      <c r="D9" s="50"/>
      <c r="E9" s="714" t="s">
        <v>58</v>
      </c>
      <c r="F9" s="716" t="s">
        <v>423</v>
      </c>
      <c r="G9" s="50"/>
      <c r="H9" s="717" t="s">
        <v>424</v>
      </c>
      <c r="I9" s="713"/>
      <c r="J9" s="50"/>
      <c r="K9" s="714" t="s">
        <v>425</v>
      </c>
      <c r="L9" s="714" t="s">
        <v>426</v>
      </c>
    </row>
    <row r="10" spans="1:12" ht="31.4" customHeight="1">
      <c r="A10" s="710"/>
      <c r="B10" s="715"/>
      <c r="C10" s="715"/>
      <c r="D10" s="267"/>
      <c r="E10" s="715"/>
      <c r="F10" s="715"/>
      <c r="G10" s="267"/>
      <c r="H10" s="267" t="s">
        <v>58</v>
      </c>
      <c r="I10" s="51" t="s">
        <v>427</v>
      </c>
      <c r="J10" s="267"/>
      <c r="K10" s="715"/>
      <c r="L10" s="715"/>
    </row>
    <row r="11" spans="1:12" ht="3" customHeight="1"/>
    <row r="12" spans="1:12" ht="10.15" customHeight="1">
      <c r="A12" s="52">
        <v>2020</v>
      </c>
      <c r="B12" s="3">
        <v>29023</v>
      </c>
      <c r="C12" s="1">
        <v>8.9239568617992617</v>
      </c>
      <c r="D12" s="3"/>
      <c r="E12" s="3">
        <v>5078</v>
      </c>
      <c r="F12" s="1">
        <v>10.338716029933044</v>
      </c>
      <c r="G12" s="3"/>
      <c r="H12" s="3">
        <v>16713</v>
      </c>
      <c r="I12" s="1">
        <v>20.367378687249445</v>
      </c>
      <c r="J12" s="3"/>
      <c r="K12" s="3">
        <v>11562</v>
      </c>
      <c r="L12" s="3">
        <v>748</v>
      </c>
    </row>
    <row r="13" spans="1:12" ht="10.15" customHeight="1">
      <c r="A13" s="52">
        <v>2021</v>
      </c>
      <c r="B13" s="3">
        <v>31310</v>
      </c>
      <c r="C13" s="1">
        <v>9.2302778664963263</v>
      </c>
      <c r="D13" s="3"/>
      <c r="E13" s="3">
        <v>5637</v>
      </c>
      <c r="F13" s="1">
        <v>10.377860564129856</v>
      </c>
      <c r="G13" s="3"/>
      <c r="H13" s="3">
        <v>19327</v>
      </c>
      <c r="I13" s="1">
        <v>18.393956640968593</v>
      </c>
      <c r="J13" s="3"/>
      <c r="K13" s="3">
        <v>11171</v>
      </c>
      <c r="L13" s="3">
        <v>812</v>
      </c>
    </row>
    <row r="14" spans="1:12" ht="10.15" customHeight="1">
      <c r="A14" s="52">
        <v>2022</v>
      </c>
      <c r="B14" s="3">
        <v>35802</v>
      </c>
      <c r="C14" s="1">
        <v>9.2592592592592595</v>
      </c>
      <c r="D14" s="3"/>
      <c r="E14" s="3">
        <v>6311</v>
      </c>
      <c r="F14" s="1">
        <v>9.5547456821422916</v>
      </c>
      <c r="G14" s="3"/>
      <c r="H14" s="3">
        <v>23647</v>
      </c>
      <c r="I14" s="1">
        <v>15.875163868566839</v>
      </c>
      <c r="J14" s="3"/>
      <c r="K14" s="3">
        <v>11181</v>
      </c>
      <c r="L14" s="3">
        <v>974</v>
      </c>
    </row>
    <row r="15" spans="1:12" ht="10.15" customHeight="1">
      <c r="A15" s="52">
        <v>2023</v>
      </c>
      <c r="B15" s="3">
        <v>40872</v>
      </c>
      <c r="C15" s="1">
        <v>9.4808181640242708</v>
      </c>
      <c r="E15" s="3">
        <v>7236</v>
      </c>
      <c r="F15" s="1">
        <v>9.5909342177998891</v>
      </c>
      <c r="H15" s="3">
        <v>28028</v>
      </c>
      <c r="I15" s="1">
        <v>13.918224632510348</v>
      </c>
      <c r="K15" s="45">
        <v>11704</v>
      </c>
      <c r="L15" s="45">
        <v>1140</v>
      </c>
    </row>
    <row r="16" spans="1:12" ht="3" customHeight="1"/>
    <row r="17" spans="1:12" s="54" customFormat="1" ht="10.15" customHeight="1">
      <c r="A17" s="53" t="s">
        <v>339</v>
      </c>
      <c r="B17" s="704" t="s">
        <v>428</v>
      </c>
      <c r="C17" s="705"/>
      <c r="D17" s="705"/>
      <c r="E17" s="705"/>
      <c r="F17" s="705"/>
      <c r="G17" s="705"/>
      <c r="H17" s="705"/>
      <c r="I17" s="705"/>
      <c r="J17" s="705"/>
      <c r="K17" s="705"/>
      <c r="L17" s="705"/>
    </row>
    <row r="18" spans="1:12" ht="3" customHeight="1"/>
    <row r="19" spans="1:12" s="54" customFormat="1" ht="10.15" customHeight="1">
      <c r="A19" s="19" t="s">
        <v>226</v>
      </c>
      <c r="B19" s="3">
        <v>2477</v>
      </c>
      <c r="C19" s="1">
        <v>271</v>
      </c>
      <c r="D19" s="3"/>
      <c r="E19" s="3">
        <v>669</v>
      </c>
      <c r="F19" s="1">
        <v>70</v>
      </c>
      <c r="G19" s="3"/>
      <c r="H19" s="3">
        <v>1345</v>
      </c>
      <c r="I19" s="1">
        <v>189</v>
      </c>
      <c r="J19" s="3"/>
      <c r="K19" s="3">
        <v>1010</v>
      </c>
      <c r="L19" s="3">
        <v>122</v>
      </c>
    </row>
    <row r="20" spans="1:12" s="54" customFormat="1" ht="10.15" customHeight="1">
      <c r="A20" s="11" t="s">
        <v>227</v>
      </c>
      <c r="B20" s="3">
        <v>53</v>
      </c>
      <c r="C20" s="1">
        <v>2</v>
      </c>
      <c r="D20" s="3"/>
      <c r="E20" s="3">
        <v>14</v>
      </c>
      <c r="F20" s="1">
        <v>0</v>
      </c>
      <c r="G20" s="3"/>
      <c r="H20" s="3">
        <v>29</v>
      </c>
      <c r="I20" s="1">
        <v>7</v>
      </c>
      <c r="J20" s="3"/>
      <c r="K20" s="3">
        <v>22</v>
      </c>
      <c r="L20" s="3">
        <v>2</v>
      </c>
    </row>
    <row r="21" spans="1:12" s="54" customFormat="1" ht="10.15" customHeight="1">
      <c r="A21" s="2" t="s">
        <v>229</v>
      </c>
      <c r="B21" s="3">
        <v>1453</v>
      </c>
      <c r="C21" s="1">
        <v>149</v>
      </c>
      <c r="D21" s="3"/>
      <c r="E21" s="3">
        <v>435</v>
      </c>
      <c r="F21" s="1">
        <v>34</v>
      </c>
      <c r="G21" s="3"/>
      <c r="H21" s="3">
        <v>1135</v>
      </c>
      <c r="I21" s="1">
        <v>191</v>
      </c>
      <c r="J21" s="3"/>
      <c r="K21" s="3">
        <v>272</v>
      </c>
      <c r="L21" s="3">
        <v>46</v>
      </c>
    </row>
    <row r="22" spans="1:12" s="54" customFormat="1" ht="10.15" customHeight="1">
      <c r="A22" s="2" t="s">
        <v>230</v>
      </c>
      <c r="B22" s="3">
        <v>7390</v>
      </c>
      <c r="C22" s="1">
        <v>701</v>
      </c>
      <c r="D22" s="3"/>
      <c r="E22" s="3">
        <v>2185</v>
      </c>
      <c r="F22" s="1">
        <v>199</v>
      </c>
      <c r="G22" s="3"/>
      <c r="H22" s="3">
        <v>6369</v>
      </c>
      <c r="I22" s="1">
        <v>1128</v>
      </c>
      <c r="J22" s="3"/>
      <c r="K22" s="3">
        <v>957</v>
      </c>
      <c r="L22" s="3">
        <v>64</v>
      </c>
    </row>
    <row r="23" spans="1:12" s="55" customFormat="1" ht="10.15" customHeight="1">
      <c r="A23" s="87" t="s">
        <v>231</v>
      </c>
      <c r="B23" s="3">
        <v>471</v>
      </c>
      <c r="C23" s="1">
        <v>40</v>
      </c>
      <c r="D23" s="3"/>
      <c r="E23" s="3">
        <v>200</v>
      </c>
      <c r="F23" s="1">
        <v>8</v>
      </c>
      <c r="G23" s="3"/>
      <c r="H23" s="3">
        <v>303</v>
      </c>
      <c r="I23" s="1">
        <v>50</v>
      </c>
      <c r="J23" s="3"/>
      <c r="K23" s="3">
        <v>159</v>
      </c>
      <c r="L23" s="3">
        <v>9</v>
      </c>
    </row>
    <row r="24" spans="1:12" s="55" customFormat="1" ht="10.15" customHeight="1">
      <c r="A24" s="55" t="s">
        <v>232</v>
      </c>
      <c r="B24" s="3">
        <v>284</v>
      </c>
      <c r="C24" s="1">
        <v>26</v>
      </c>
      <c r="D24" s="3"/>
      <c r="E24" s="3">
        <v>125</v>
      </c>
      <c r="F24" s="1">
        <v>7</v>
      </c>
      <c r="G24" s="3"/>
      <c r="H24" s="3">
        <v>165</v>
      </c>
      <c r="I24" s="1">
        <v>32</v>
      </c>
      <c r="J24" s="3"/>
      <c r="K24" s="3">
        <v>116</v>
      </c>
      <c r="L24" s="3">
        <v>3</v>
      </c>
    </row>
    <row r="25" spans="1:12" s="55" customFormat="1" ht="10.15" customHeight="1">
      <c r="A25" s="55" t="s">
        <v>75</v>
      </c>
      <c r="B25" s="3">
        <v>187</v>
      </c>
      <c r="C25" s="1">
        <v>14</v>
      </c>
      <c r="D25" s="3"/>
      <c r="E25" s="3">
        <v>75</v>
      </c>
      <c r="F25" s="1">
        <v>1</v>
      </c>
      <c r="G25" s="3"/>
      <c r="H25" s="3">
        <v>138</v>
      </c>
      <c r="I25" s="1">
        <v>18</v>
      </c>
      <c r="J25" s="3"/>
      <c r="K25" s="3">
        <v>43</v>
      </c>
      <c r="L25" s="3">
        <v>6</v>
      </c>
    </row>
    <row r="26" spans="1:12" s="54" customFormat="1" ht="10.15" customHeight="1">
      <c r="A26" s="2" t="s">
        <v>233</v>
      </c>
      <c r="B26" s="3">
        <v>1916</v>
      </c>
      <c r="C26" s="1">
        <v>192</v>
      </c>
      <c r="D26" s="3"/>
      <c r="E26" s="3">
        <v>617</v>
      </c>
      <c r="F26" s="1">
        <v>49</v>
      </c>
      <c r="G26" s="3"/>
      <c r="H26" s="3">
        <v>1372</v>
      </c>
      <c r="I26" s="1">
        <v>197</v>
      </c>
      <c r="J26" s="3"/>
      <c r="K26" s="3">
        <v>487</v>
      </c>
      <c r="L26" s="3">
        <v>57</v>
      </c>
    </row>
    <row r="27" spans="1:12" s="54" customFormat="1" ht="10.15" customHeight="1">
      <c r="A27" s="2" t="s">
        <v>414</v>
      </c>
      <c r="B27" s="3">
        <v>600</v>
      </c>
      <c r="C27" s="1">
        <v>73</v>
      </c>
      <c r="D27" s="3"/>
      <c r="E27" s="3">
        <v>149</v>
      </c>
      <c r="F27" s="1">
        <v>18</v>
      </c>
      <c r="G27" s="3"/>
      <c r="H27" s="3">
        <v>354</v>
      </c>
      <c r="I27" s="1">
        <v>33</v>
      </c>
      <c r="J27" s="3"/>
      <c r="K27" s="3">
        <v>216</v>
      </c>
      <c r="L27" s="3">
        <v>30</v>
      </c>
    </row>
    <row r="28" spans="1:12" s="54" customFormat="1" ht="10.15" customHeight="1">
      <c r="A28" s="2" t="s">
        <v>235</v>
      </c>
      <c r="B28" s="3">
        <v>2816</v>
      </c>
      <c r="C28" s="1">
        <v>254</v>
      </c>
      <c r="D28" s="3"/>
      <c r="E28" s="3">
        <v>930</v>
      </c>
      <c r="F28" s="1">
        <v>77</v>
      </c>
      <c r="G28" s="3"/>
      <c r="H28" s="3">
        <v>2051</v>
      </c>
      <c r="I28" s="1">
        <v>436</v>
      </c>
      <c r="J28" s="3"/>
      <c r="K28" s="3">
        <v>668</v>
      </c>
      <c r="L28" s="3">
        <v>97</v>
      </c>
    </row>
    <row r="29" spans="1:12" s="54" customFormat="1" ht="10.15" customHeight="1">
      <c r="A29" s="2" t="s">
        <v>236</v>
      </c>
      <c r="B29" s="3">
        <v>1683</v>
      </c>
      <c r="C29" s="1">
        <v>151</v>
      </c>
      <c r="D29" s="3"/>
      <c r="E29" s="3">
        <v>583</v>
      </c>
      <c r="F29" s="1">
        <v>42</v>
      </c>
      <c r="G29" s="3"/>
      <c r="H29" s="3">
        <v>1140</v>
      </c>
      <c r="I29" s="1">
        <v>249</v>
      </c>
      <c r="J29" s="3"/>
      <c r="K29" s="3">
        <v>402</v>
      </c>
      <c r="L29" s="3">
        <v>141</v>
      </c>
    </row>
    <row r="30" spans="1:12" s="54" customFormat="1" ht="10.15" customHeight="1">
      <c r="A30" s="2" t="s">
        <v>237</v>
      </c>
      <c r="B30" s="3">
        <v>682</v>
      </c>
      <c r="C30" s="1">
        <v>73</v>
      </c>
      <c r="D30" s="3"/>
      <c r="E30" s="3">
        <v>227</v>
      </c>
      <c r="F30" s="1">
        <v>27</v>
      </c>
      <c r="G30" s="3"/>
      <c r="H30" s="3">
        <v>484</v>
      </c>
      <c r="I30" s="1">
        <v>116</v>
      </c>
      <c r="J30" s="3"/>
      <c r="K30" s="3">
        <v>165</v>
      </c>
      <c r="L30" s="3">
        <v>33</v>
      </c>
    </row>
    <row r="31" spans="1:12" s="54" customFormat="1" ht="10.15" customHeight="1">
      <c r="A31" s="2" t="s">
        <v>238</v>
      </c>
      <c r="B31" s="3">
        <v>1310</v>
      </c>
      <c r="C31" s="1">
        <v>125</v>
      </c>
      <c r="D31" s="3"/>
      <c r="E31" s="3">
        <v>320</v>
      </c>
      <c r="F31" s="1">
        <v>40</v>
      </c>
      <c r="G31" s="3"/>
      <c r="H31" s="3">
        <v>960</v>
      </c>
      <c r="I31" s="1">
        <v>134</v>
      </c>
      <c r="J31" s="3"/>
      <c r="K31" s="3">
        <v>313</v>
      </c>
      <c r="L31" s="3">
        <v>37</v>
      </c>
    </row>
    <row r="32" spans="1:12" s="54" customFormat="1" ht="10.15" customHeight="1">
      <c r="A32" s="2" t="s">
        <v>239</v>
      </c>
      <c r="B32" s="3">
        <v>3513</v>
      </c>
      <c r="C32" s="1">
        <v>416</v>
      </c>
      <c r="D32" s="3"/>
      <c r="E32" s="3">
        <v>612</v>
      </c>
      <c r="F32" s="1">
        <v>81</v>
      </c>
      <c r="G32" s="3"/>
      <c r="H32" s="3">
        <v>2046</v>
      </c>
      <c r="I32" s="1">
        <v>103</v>
      </c>
      <c r="J32" s="3"/>
      <c r="K32" s="3">
        <v>1420</v>
      </c>
      <c r="L32" s="3">
        <v>47</v>
      </c>
    </row>
    <row r="33" spans="1:21" s="54" customFormat="1" ht="10.15" customHeight="1">
      <c r="A33" s="2" t="s">
        <v>240</v>
      </c>
      <c r="B33" s="3">
        <v>1517</v>
      </c>
      <c r="C33" s="1">
        <v>195</v>
      </c>
      <c r="D33" s="3"/>
      <c r="E33" s="3">
        <v>225</v>
      </c>
      <c r="F33" s="1">
        <v>22</v>
      </c>
      <c r="G33" s="3"/>
      <c r="H33" s="3">
        <v>999</v>
      </c>
      <c r="I33" s="1">
        <v>113</v>
      </c>
      <c r="J33" s="3"/>
      <c r="K33" s="3">
        <v>479</v>
      </c>
      <c r="L33" s="3">
        <v>39</v>
      </c>
    </row>
    <row r="34" spans="1:21" s="54" customFormat="1" ht="10.15" customHeight="1">
      <c r="A34" s="2" t="s">
        <v>241</v>
      </c>
      <c r="B34" s="3">
        <v>246</v>
      </c>
      <c r="C34" s="1">
        <v>21</v>
      </c>
      <c r="D34" s="3"/>
      <c r="E34" s="3">
        <v>25</v>
      </c>
      <c r="F34" s="1">
        <v>1</v>
      </c>
      <c r="G34" s="3"/>
      <c r="H34" s="3">
        <v>162</v>
      </c>
      <c r="I34" s="1">
        <v>26</v>
      </c>
      <c r="J34" s="3"/>
      <c r="K34" s="3">
        <v>76</v>
      </c>
      <c r="L34" s="3">
        <v>8</v>
      </c>
    </row>
    <row r="35" spans="1:21" s="54" customFormat="1" ht="10.15" customHeight="1">
      <c r="A35" s="2" t="s">
        <v>242</v>
      </c>
      <c r="B35" s="3">
        <v>5317</v>
      </c>
      <c r="C35" s="1">
        <v>560</v>
      </c>
      <c r="D35" s="3"/>
      <c r="E35" s="3">
        <v>241</v>
      </c>
      <c r="F35" s="1">
        <v>33</v>
      </c>
      <c r="G35" s="3"/>
      <c r="H35" s="3">
        <v>2984</v>
      </c>
      <c r="I35" s="1">
        <v>188</v>
      </c>
      <c r="J35" s="3"/>
      <c r="K35" s="3">
        <v>2175</v>
      </c>
      <c r="L35" s="3">
        <v>158</v>
      </c>
    </row>
    <row r="36" spans="1:21" s="54" customFormat="1" ht="10.15" customHeight="1">
      <c r="A36" s="2" t="s">
        <v>243</v>
      </c>
      <c r="B36" s="3">
        <v>5077</v>
      </c>
      <c r="C36" s="1">
        <v>378</v>
      </c>
      <c r="D36" s="3"/>
      <c r="E36" s="3">
        <v>313</v>
      </c>
      <c r="F36" s="1">
        <v>29</v>
      </c>
      <c r="G36" s="3"/>
      <c r="H36" s="3">
        <v>3347</v>
      </c>
      <c r="I36" s="1">
        <v>367</v>
      </c>
      <c r="J36" s="3"/>
      <c r="K36" s="3">
        <v>1586</v>
      </c>
      <c r="L36" s="3">
        <v>144</v>
      </c>
    </row>
    <row r="37" spans="1:21" s="54" customFormat="1" ht="10.15" customHeight="1">
      <c r="A37" s="2" t="s">
        <v>244</v>
      </c>
      <c r="B37" s="3">
        <v>316</v>
      </c>
      <c r="C37" s="1">
        <v>21</v>
      </c>
      <c r="D37" s="3"/>
      <c r="E37" s="3">
        <v>18</v>
      </c>
      <c r="F37" s="1">
        <v>1</v>
      </c>
      <c r="G37" s="3"/>
      <c r="H37" s="3">
        <v>233</v>
      </c>
      <c r="I37" s="1">
        <v>31</v>
      </c>
      <c r="J37" s="3"/>
      <c r="K37" s="3">
        <v>81</v>
      </c>
      <c r="L37" s="3">
        <v>2</v>
      </c>
    </row>
    <row r="38" spans="1:21" s="54" customFormat="1" ht="10.15" customHeight="1">
      <c r="A38" s="2" t="s">
        <v>245</v>
      </c>
      <c r="B38" s="3">
        <v>2337</v>
      </c>
      <c r="C38" s="1">
        <v>192</v>
      </c>
      <c r="D38" s="3"/>
      <c r="E38" s="3">
        <v>140</v>
      </c>
      <c r="F38" s="1">
        <v>15</v>
      </c>
      <c r="G38" s="3"/>
      <c r="H38" s="3">
        <v>1619</v>
      </c>
      <c r="I38" s="1">
        <v>140</v>
      </c>
      <c r="J38" s="3"/>
      <c r="K38" s="3">
        <v>689</v>
      </c>
      <c r="L38" s="3">
        <v>29</v>
      </c>
    </row>
    <row r="39" spans="1:21" s="54" customFormat="1" ht="10.15" customHeight="1">
      <c r="A39" s="2" t="s">
        <v>246</v>
      </c>
      <c r="B39" s="3">
        <v>5827</v>
      </c>
      <c r="C39" s="1">
        <v>473</v>
      </c>
      <c r="D39" s="3"/>
      <c r="E39" s="3">
        <v>341</v>
      </c>
      <c r="F39" s="1">
        <v>37</v>
      </c>
      <c r="G39" s="3"/>
      <c r="H39" s="3">
        <v>3944</v>
      </c>
      <c r="I39" s="1">
        <v>292</v>
      </c>
      <c r="J39" s="3"/>
      <c r="K39" s="3">
        <v>1729</v>
      </c>
      <c r="L39" s="3">
        <v>154</v>
      </c>
    </row>
    <row r="40" spans="1:21" s="54" customFormat="1" ht="10.15" customHeight="1">
      <c r="A40" s="2" t="s">
        <v>415</v>
      </c>
      <c r="B40" s="3">
        <v>1365</v>
      </c>
      <c r="C40" s="1">
        <v>118</v>
      </c>
      <c r="D40" s="3"/>
      <c r="E40" s="3">
        <v>112</v>
      </c>
      <c r="F40" s="1">
        <v>19</v>
      </c>
      <c r="G40" s="3"/>
      <c r="H40" s="3">
        <v>1079</v>
      </c>
      <c r="I40" s="1">
        <v>228</v>
      </c>
      <c r="J40" s="3"/>
      <c r="K40" s="3">
        <v>253</v>
      </c>
      <c r="L40" s="3">
        <v>33</v>
      </c>
    </row>
    <row r="41" spans="1:21" s="2" customFormat="1" ht="10.15" customHeight="1">
      <c r="A41" s="64" t="s">
        <v>248</v>
      </c>
      <c r="B41" s="5">
        <v>11373</v>
      </c>
      <c r="C41" s="6">
        <v>1123</v>
      </c>
      <c r="D41" s="5"/>
      <c r="E41" s="5">
        <v>3303</v>
      </c>
      <c r="F41" s="6">
        <v>303</v>
      </c>
      <c r="G41" s="5"/>
      <c r="H41" s="5">
        <v>8878</v>
      </c>
      <c r="I41" s="6">
        <v>1515</v>
      </c>
      <c r="J41" s="5"/>
      <c r="K41" s="5">
        <v>2261</v>
      </c>
      <c r="L41" s="5">
        <v>234</v>
      </c>
      <c r="N41" s="473"/>
      <c r="O41" s="473"/>
      <c r="P41" s="473"/>
      <c r="Q41" s="473"/>
      <c r="R41" s="473"/>
      <c r="S41" s="473"/>
      <c r="T41" s="473"/>
      <c r="U41" s="473"/>
    </row>
    <row r="42" spans="1:21" s="2" customFormat="1" ht="10.15" customHeight="1">
      <c r="A42" s="64" t="s">
        <v>249</v>
      </c>
      <c r="B42" s="5">
        <v>5803</v>
      </c>
      <c r="C42" s="6">
        <v>559</v>
      </c>
      <c r="D42" s="5"/>
      <c r="E42" s="5">
        <v>1896</v>
      </c>
      <c r="F42" s="6">
        <v>152</v>
      </c>
      <c r="G42" s="5"/>
      <c r="H42" s="5">
        <v>4080</v>
      </c>
      <c r="I42" s="6">
        <v>716</v>
      </c>
      <c r="J42" s="5"/>
      <c r="K42" s="5">
        <v>1530</v>
      </c>
      <c r="L42" s="5">
        <v>193</v>
      </c>
      <c r="N42" s="473"/>
      <c r="O42" s="473"/>
      <c r="P42" s="473"/>
      <c r="Q42" s="473"/>
      <c r="R42" s="473"/>
      <c r="S42" s="473"/>
      <c r="T42" s="473"/>
      <c r="U42" s="473"/>
    </row>
    <row r="43" spans="1:21" s="2" customFormat="1" ht="10.15" customHeight="1">
      <c r="A43" s="64" t="s">
        <v>250</v>
      </c>
      <c r="B43" s="5">
        <v>7188</v>
      </c>
      <c r="C43" s="6">
        <v>765</v>
      </c>
      <c r="D43" s="5"/>
      <c r="E43" s="5">
        <v>1742</v>
      </c>
      <c r="F43" s="6">
        <v>190</v>
      </c>
      <c r="G43" s="5"/>
      <c r="H43" s="5">
        <v>4630</v>
      </c>
      <c r="I43" s="6">
        <v>602</v>
      </c>
      <c r="J43" s="5"/>
      <c r="K43" s="5">
        <v>2300</v>
      </c>
      <c r="L43" s="5">
        <v>258</v>
      </c>
      <c r="N43" s="473"/>
      <c r="O43" s="473"/>
      <c r="P43" s="473"/>
      <c r="Q43" s="473"/>
      <c r="R43" s="473"/>
      <c r="S43" s="473"/>
      <c r="T43" s="473"/>
      <c r="U43" s="473"/>
    </row>
    <row r="44" spans="1:21" s="2" customFormat="1" ht="10.15" customHeight="1">
      <c r="A44" s="64" t="s">
        <v>251</v>
      </c>
      <c r="B44" s="5">
        <v>14810</v>
      </c>
      <c r="C44" s="6">
        <v>1367</v>
      </c>
      <c r="D44" s="5"/>
      <c r="E44" s="5">
        <v>962</v>
      </c>
      <c r="F44" s="6">
        <v>101</v>
      </c>
      <c r="G44" s="5"/>
      <c r="H44" s="5">
        <v>9344</v>
      </c>
      <c r="I44" s="6">
        <v>865</v>
      </c>
      <c r="J44" s="5"/>
      <c r="K44" s="5">
        <v>5086</v>
      </c>
      <c r="L44" s="5">
        <v>380</v>
      </c>
      <c r="N44" s="473"/>
      <c r="O44" s="473"/>
      <c r="P44" s="473"/>
      <c r="Q44" s="473"/>
      <c r="R44" s="473"/>
      <c r="S44" s="473"/>
      <c r="T44" s="473"/>
      <c r="U44" s="473"/>
    </row>
    <row r="45" spans="1:21" s="2" customFormat="1" ht="10.15" customHeight="1">
      <c r="A45" s="64" t="s">
        <v>252</v>
      </c>
      <c r="B45" s="5">
        <v>7192</v>
      </c>
      <c r="C45" s="6">
        <v>591</v>
      </c>
      <c r="D45" s="5"/>
      <c r="E45" s="5">
        <v>453</v>
      </c>
      <c r="F45" s="6">
        <v>56</v>
      </c>
      <c r="G45" s="5"/>
      <c r="H45" s="5">
        <v>5023</v>
      </c>
      <c r="I45" s="6">
        <v>520</v>
      </c>
      <c r="J45" s="5"/>
      <c r="K45" s="5">
        <v>1982</v>
      </c>
      <c r="L45" s="5">
        <v>187</v>
      </c>
      <c r="N45" s="473"/>
      <c r="O45" s="473"/>
      <c r="P45" s="473"/>
      <c r="Q45" s="473"/>
      <c r="R45" s="473"/>
      <c r="S45" s="473"/>
      <c r="T45" s="473"/>
      <c r="U45" s="473"/>
    </row>
    <row r="46" spans="1:21" s="46" customFormat="1" ht="10.15" customHeight="1">
      <c r="A46" s="64" t="s">
        <v>253</v>
      </c>
      <c r="B46" s="5">
        <v>46366</v>
      </c>
      <c r="C46" s="6">
        <v>4405</v>
      </c>
      <c r="D46" s="5"/>
      <c r="E46" s="5">
        <v>8356</v>
      </c>
      <c r="F46" s="6">
        <v>802</v>
      </c>
      <c r="G46" s="5"/>
      <c r="H46" s="5">
        <v>31955</v>
      </c>
      <c r="I46" s="6">
        <v>4218</v>
      </c>
      <c r="J46" s="5"/>
      <c r="K46" s="5">
        <v>13159</v>
      </c>
      <c r="L46" s="5">
        <v>1252</v>
      </c>
      <c r="N46" s="474"/>
      <c r="O46" s="474"/>
      <c r="P46" s="474"/>
      <c r="Q46" s="474"/>
      <c r="R46" s="474"/>
      <c r="S46" s="474"/>
      <c r="T46" s="474"/>
      <c r="U46" s="474"/>
    </row>
    <row r="47" spans="1:21" ht="3" customHeight="1">
      <c r="A47" s="56"/>
      <c r="B47" s="56"/>
      <c r="C47" s="56"/>
      <c r="D47" s="56"/>
      <c r="E47" s="56"/>
      <c r="F47" s="56"/>
      <c r="G47" s="56"/>
      <c r="H47" s="56"/>
      <c r="I47" s="56"/>
      <c r="J47" s="56"/>
      <c r="K47" s="56"/>
      <c r="L47" s="56"/>
    </row>
    <row r="48" spans="1:21" ht="3" customHeight="1"/>
    <row r="49" spans="1:13" s="7" customFormat="1" ht="10.15" customHeight="1">
      <c r="A49" s="706" t="s">
        <v>429</v>
      </c>
      <c r="B49" s="706"/>
      <c r="C49" s="706"/>
      <c r="D49" s="706"/>
      <c r="E49" s="706"/>
      <c r="F49" s="706"/>
      <c r="G49" s="706"/>
      <c r="H49" s="706"/>
      <c r="I49" s="706"/>
      <c r="J49" s="706"/>
      <c r="K49" s="706"/>
      <c r="L49" s="706"/>
      <c r="M49" s="500"/>
    </row>
    <row r="50" spans="1:13" s="54" customFormat="1" ht="10.15" customHeight="1">
      <c r="A50" s="57" t="s">
        <v>430</v>
      </c>
    </row>
    <row r="51" spans="1:13" s="54" customFormat="1" ht="10.15" customHeight="1">
      <c r="A51" s="57"/>
    </row>
    <row r="52" spans="1:13">
      <c r="A52" s="706"/>
      <c r="B52" s="706"/>
      <c r="C52" s="706"/>
      <c r="D52" s="706"/>
      <c r="E52" s="706"/>
      <c r="F52" s="706"/>
      <c r="G52" s="706"/>
      <c r="H52" s="706"/>
      <c r="I52" s="706"/>
      <c r="J52" s="706"/>
      <c r="K52" s="706"/>
      <c r="L52" s="706"/>
    </row>
  </sheetData>
  <mergeCells count="15">
    <mergeCell ref="B17:L17"/>
    <mergeCell ref="A49:L49"/>
    <mergeCell ref="A52:L52"/>
    <mergeCell ref="A5:L5"/>
    <mergeCell ref="A8:A10"/>
    <mergeCell ref="B8:C8"/>
    <mergeCell ref="E8:F8"/>
    <mergeCell ref="H8:L8"/>
    <mergeCell ref="B9:B10"/>
    <mergeCell ref="C9:C10"/>
    <mergeCell ref="E9:E10"/>
    <mergeCell ref="F9:F10"/>
    <mergeCell ref="H9:I9"/>
    <mergeCell ref="K9:K10"/>
    <mergeCell ref="L9:L10"/>
  </mergeCells>
  <pageMargins left="0.59055118110236227" right="0.59055118110236227" top="0.78740157480314965" bottom="0.78740157480314965" header="0" footer="0"/>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N57"/>
  <sheetViews>
    <sheetView zoomScaleNormal="100" workbookViewId="0">
      <selection activeCell="A4" sqref="A4"/>
    </sheetView>
  </sheetViews>
  <sheetFormatPr defaultColWidth="9.26953125" defaultRowHeight="9"/>
  <cols>
    <col min="1" max="1" width="10.453125" style="8" customWidth="1"/>
    <col min="2" max="2" width="8.54296875" style="8" customWidth="1"/>
    <col min="3" max="3" width="5.7265625" style="8" customWidth="1"/>
    <col min="4" max="4" width="0.453125" style="8" customWidth="1"/>
    <col min="5" max="5" width="7.81640625" style="8" customWidth="1"/>
    <col min="6" max="6" width="5.453125" style="8" customWidth="1"/>
    <col min="7" max="7" width="0.453125" style="8" customWidth="1"/>
    <col min="8" max="8" width="8.453125" style="8" customWidth="1"/>
    <col min="9" max="9" width="6.26953125" style="8" customWidth="1"/>
    <col min="10" max="10" width="0.453125" style="8" customWidth="1"/>
    <col min="11" max="11" width="10.26953125" style="8" customWidth="1"/>
    <col min="12" max="12" width="5.7265625" style="8" customWidth="1"/>
    <col min="13" max="13" width="0.453125" style="8" customWidth="1"/>
    <col min="14" max="15" width="5" style="8" customWidth="1"/>
    <col min="16" max="16" width="10" style="8" customWidth="1"/>
    <col min="17" max="17" width="7.26953125" style="8" customWidth="1"/>
    <col min="18" max="18" width="0.453125" style="8" customWidth="1"/>
    <col min="19" max="19" width="5.7265625" style="8" customWidth="1"/>
    <col min="20" max="39" width="0" style="8" hidden="1" customWidth="1"/>
    <col min="40" max="16384" width="9.26953125" style="8"/>
  </cols>
  <sheetData>
    <row r="1" spans="1:39" s="41" customFormat="1" ht="12.75" customHeight="1">
      <c r="B1" s="88"/>
      <c r="C1" s="88"/>
      <c r="E1" s="88"/>
    </row>
    <row r="2" spans="1:39" s="41" customFormat="1" ht="12.75" customHeight="1"/>
    <row r="3" spans="1:39" s="41" customFormat="1" ht="12.75" customHeight="1">
      <c r="A3" s="42"/>
      <c r="F3" s="89"/>
      <c r="H3" s="89"/>
      <c r="K3" s="89"/>
      <c r="P3" s="90"/>
    </row>
    <row r="4" spans="1:39" s="44" customFormat="1" ht="12" customHeight="1">
      <c r="A4" s="43" t="s">
        <v>35</v>
      </c>
      <c r="B4" s="91"/>
      <c r="C4" s="91"/>
      <c r="D4" s="43"/>
      <c r="E4" s="91"/>
      <c r="F4" s="43"/>
      <c r="G4" s="43"/>
      <c r="H4" s="43"/>
      <c r="I4" s="43"/>
      <c r="J4" s="43"/>
      <c r="K4" s="43"/>
    </row>
    <row r="5" spans="1:39" s="44" customFormat="1" ht="24" customHeight="1">
      <c r="A5" s="707" t="s">
        <v>36</v>
      </c>
      <c r="B5" s="707"/>
      <c r="C5" s="707"/>
      <c r="D5" s="707"/>
      <c r="E5" s="707"/>
      <c r="F5" s="707"/>
      <c r="G5" s="707"/>
      <c r="H5" s="707"/>
      <c r="I5" s="707"/>
      <c r="J5" s="707"/>
      <c r="K5" s="707"/>
      <c r="L5" s="707"/>
      <c r="M5" s="707"/>
      <c r="N5" s="707"/>
      <c r="O5" s="707"/>
      <c r="P5" s="707"/>
      <c r="Q5" s="707"/>
      <c r="R5" s="707"/>
      <c r="S5" s="707"/>
      <c r="U5" s="43" t="s">
        <v>35</v>
      </c>
      <c r="V5" s="91"/>
      <c r="W5" s="91"/>
      <c r="X5" s="43"/>
      <c r="Y5" s="91"/>
      <c r="Z5" s="43"/>
      <c r="AA5" s="43"/>
      <c r="AB5" s="43"/>
      <c r="AC5" s="43"/>
      <c r="AD5" s="43"/>
      <c r="AE5" s="43"/>
    </row>
    <row r="6" spans="1:39" s="44" customFormat="1" ht="12" customHeight="1">
      <c r="A6" s="47" t="s">
        <v>11</v>
      </c>
      <c r="C6" s="92"/>
      <c r="S6" s="92"/>
      <c r="U6" s="707" t="s">
        <v>36</v>
      </c>
      <c r="V6" s="707"/>
      <c r="W6" s="707"/>
      <c r="X6" s="707"/>
      <c r="Y6" s="707"/>
      <c r="Z6" s="707"/>
      <c r="AA6" s="707"/>
      <c r="AB6" s="707"/>
      <c r="AC6" s="707"/>
      <c r="AD6" s="707"/>
      <c r="AE6" s="707"/>
      <c r="AF6" s="707"/>
      <c r="AG6" s="707"/>
      <c r="AH6" s="707"/>
      <c r="AI6" s="707"/>
      <c r="AJ6" s="707"/>
      <c r="AK6" s="707"/>
      <c r="AL6" s="707"/>
      <c r="AM6" s="707"/>
    </row>
    <row r="7" spans="1:39" s="41" customFormat="1" ht="6" customHeight="1">
      <c r="A7" s="45"/>
      <c r="B7" s="46"/>
      <c r="C7" s="46"/>
      <c r="D7" s="46"/>
      <c r="E7" s="46"/>
      <c r="F7" s="46"/>
      <c r="G7" s="46"/>
      <c r="H7" s="46"/>
      <c r="I7" s="46"/>
      <c r="J7" s="46"/>
      <c r="K7" s="46"/>
      <c r="L7" s="46"/>
      <c r="M7" s="46"/>
      <c r="N7" s="46"/>
      <c r="O7" s="46"/>
      <c r="P7" s="46"/>
      <c r="Q7" s="46"/>
      <c r="R7" s="46"/>
      <c r="S7" s="46"/>
      <c r="U7" s="47" t="s">
        <v>32</v>
      </c>
      <c r="V7" s="44"/>
      <c r="W7" s="92"/>
      <c r="X7" s="44"/>
      <c r="Y7" s="44"/>
      <c r="Z7" s="44"/>
      <c r="AA7" s="44"/>
      <c r="AB7" s="44"/>
      <c r="AC7" s="44"/>
      <c r="AD7" s="44"/>
      <c r="AE7" s="44"/>
      <c r="AF7" s="44"/>
      <c r="AG7" s="44"/>
      <c r="AH7" s="44"/>
      <c r="AI7" s="44"/>
      <c r="AJ7" s="44"/>
      <c r="AK7" s="44"/>
      <c r="AL7" s="44"/>
      <c r="AM7" s="92"/>
    </row>
    <row r="8" spans="1:39" ht="12" customHeight="1">
      <c r="A8" s="718" t="s">
        <v>219</v>
      </c>
      <c r="B8" s="721" t="s">
        <v>431</v>
      </c>
      <c r="C8" s="721"/>
      <c r="D8" s="587"/>
      <c r="E8" s="722" t="s">
        <v>273</v>
      </c>
      <c r="F8" s="722"/>
      <c r="G8" s="722"/>
      <c r="H8" s="722"/>
      <c r="I8" s="722"/>
      <c r="J8" s="722"/>
      <c r="K8" s="722"/>
      <c r="L8" s="722"/>
      <c r="M8" s="722"/>
      <c r="N8" s="722"/>
      <c r="O8" s="722"/>
      <c r="P8" s="722"/>
      <c r="Q8" s="722"/>
      <c r="R8" s="588"/>
      <c r="S8" s="723" t="s">
        <v>432</v>
      </c>
      <c r="U8" s="45"/>
      <c r="V8" s="46"/>
      <c r="W8" s="46"/>
      <c r="X8" s="46"/>
      <c r="Y8" s="46"/>
      <c r="Z8" s="46"/>
      <c r="AA8" s="46"/>
      <c r="AB8" s="46"/>
      <c r="AC8" s="46"/>
      <c r="AD8" s="46"/>
      <c r="AE8" s="46"/>
      <c r="AF8" s="46"/>
      <c r="AG8" s="46"/>
      <c r="AH8" s="46"/>
      <c r="AI8" s="46"/>
      <c r="AJ8" s="46"/>
      <c r="AK8" s="46"/>
      <c r="AL8" s="46"/>
      <c r="AM8" s="46"/>
    </row>
    <row r="9" spans="1:39" ht="12" customHeight="1">
      <c r="A9" s="719"/>
      <c r="B9" s="726" t="s">
        <v>58</v>
      </c>
      <c r="C9" s="723" t="s">
        <v>433</v>
      </c>
      <c r="D9" s="122"/>
      <c r="E9" s="722" t="s">
        <v>434</v>
      </c>
      <c r="F9" s="722"/>
      <c r="G9" s="93"/>
      <c r="H9" s="722" t="s">
        <v>435</v>
      </c>
      <c r="I9" s="722"/>
      <c r="J9" s="94"/>
      <c r="K9" s="722" t="s">
        <v>436</v>
      </c>
      <c r="L9" s="722"/>
      <c r="M9" s="722"/>
      <c r="N9" s="722"/>
      <c r="O9" s="722"/>
      <c r="P9" s="722"/>
      <c r="Q9" s="722"/>
      <c r="R9" s="93"/>
      <c r="S9" s="724"/>
      <c r="U9" s="718" t="s">
        <v>219</v>
      </c>
      <c r="V9" s="721" t="s">
        <v>431</v>
      </c>
      <c r="W9" s="721"/>
      <c r="X9" s="587"/>
      <c r="Y9" s="722" t="s">
        <v>273</v>
      </c>
      <c r="Z9" s="722"/>
      <c r="AA9" s="722"/>
      <c r="AB9" s="722"/>
      <c r="AC9" s="722"/>
      <c r="AD9" s="722"/>
      <c r="AE9" s="722"/>
      <c r="AF9" s="722"/>
      <c r="AG9" s="722"/>
      <c r="AH9" s="722"/>
      <c r="AI9" s="722"/>
      <c r="AJ9" s="722"/>
      <c r="AK9" s="722"/>
      <c r="AL9" s="588"/>
      <c r="AM9" s="723" t="s">
        <v>432</v>
      </c>
    </row>
    <row r="10" spans="1:39" ht="12" customHeight="1">
      <c r="A10" s="719"/>
      <c r="B10" s="727"/>
      <c r="C10" s="724"/>
      <c r="D10" s="125"/>
      <c r="E10" s="726" t="s">
        <v>58</v>
      </c>
      <c r="F10" s="723" t="s">
        <v>433</v>
      </c>
      <c r="G10" s="125"/>
      <c r="H10" s="726" t="s">
        <v>58</v>
      </c>
      <c r="I10" s="723" t="s">
        <v>433</v>
      </c>
      <c r="J10" s="125"/>
      <c r="K10" s="722" t="s">
        <v>58</v>
      </c>
      <c r="L10" s="722"/>
      <c r="M10" s="589"/>
      <c r="N10" s="721" t="s">
        <v>273</v>
      </c>
      <c r="O10" s="721"/>
      <c r="P10" s="721"/>
      <c r="Q10" s="721"/>
      <c r="R10" s="95"/>
      <c r="S10" s="724"/>
      <c r="U10" s="719"/>
      <c r="V10" s="726" t="s">
        <v>58</v>
      </c>
      <c r="W10" s="723" t="s">
        <v>433</v>
      </c>
      <c r="X10" s="122"/>
      <c r="Y10" s="722" t="s">
        <v>434</v>
      </c>
      <c r="Z10" s="722"/>
      <c r="AA10" s="93"/>
      <c r="AB10" s="722" t="s">
        <v>435</v>
      </c>
      <c r="AC10" s="722"/>
      <c r="AD10" s="94"/>
      <c r="AE10" s="722" t="s">
        <v>436</v>
      </c>
      <c r="AF10" s="722"/>
      <c r="AG10" s="722"/>
      <c r="AH10" s="722"/>
      <c r="AI10" s="722"/>
      <c r="AJ10" s="722"/>
      <c r="AK10" s="722"/>
      <c r="AL10" s="93"/>
      <c r="AM10" s="724"/>
    </row>
    <row r="11" spans="1:39" ht="10.15" customHeight="1">
      <c r="A11" s="719"/>
      <c r="B11" s="727"/>
      <c r="C11" s="724"/>
      <c r="D11" s="125"/>
      <c r="E11" s="727"/>
      <c r="F11" s="724"/>
      <c r="G11" s="125"/>
      <c r="H11" s="727"/>
      <c r="I11" s="724"/>
      <c r="J11" s="125"/>
      <c r="K11" s="729" t="s">
        <v>362</v>
      </c>
      <c r="L11" s="729" t="s">
        <v>437</v>
      </c>
      <c r="M11" s="123"/>
      <c r="N11" s="723" t="s">
        <v>438</v>
      </c>
      <c r="O11" s="723" t="s">
        <v>439</v>
      </c>
      <c r="P11" s="723" t="s">
        <v>440</v>
      </c>
      <c r="Q11" s="723" t="s">
        <v>441</v>
      </c>
      <c r="R11" s="124"/>
      <c r="S11" s="724"/>
      <c r="U11" s="719"/>
      <c r="V11" s="727"/>
      <c r="W11" s="724"/>
      <c r="X11" s="125"/>
      <c r="Y11" s="726" t="s">
        <v>58</v>
      </c>
      <c r="Z11" s="723" t="s">
        <v>433</v>
      </c>
      <c r="AA11" s="125"/>
      <c r="AB11" s="726" t="s">
        <v>58</v>
      </c>
      <c r="AC11" s="723" t="s">
        <v>433</v>
      </c>
      <c r="AD11" s="125"/>
      <c r="AE11" s="722" t="s">
        <v>58</v>
      </c>
      <c r="AF11" s="722"/>
      <c r="AG11" s="589"/>
      <c r="AH11" s="721" t="s">
        <v>273</v>
      </c>
      <c r="AI11" s="721"/>
      <c r="AJ11" s="721"/>
      <c r="AK11" s="721"/>
      <c r="AL11" s="95"/>
      <c r="AM11" s="724"/>
    </row>
    <row r="12" spans="1:39" ht="10.15" customHeight="1">
      <c r="A12" s="719"/>
      <c r="B12" s="727"/>
      <c r="C12" s="724"/>
      <c r="D12" s="125"/>
      <c r="E12" s="727"/>
      <c r="F12" s="724"/>
      <c r="G12" s="125"/>
      <c r="H12" s="727"/>
      <c r="I12" s="724"/>
      <c r="J12" s="125"/>
      <c r="K12" s="730"/>
      <c r="L12" s="730"/>
      <c r="M12" s="123"/>
      <c r="N12" s="724"/>
      <c r="O12" s="724"/>
      <c r="P12" s="724"/>
      <c r="Q12" s="724"/>
      <c r="R12" s="124"/>
      <c r="S12" s="724"/>
      <c r="U12" s="719"/>
      <c r="V12" s="727"/>
      <c r="W12" s="724"/>
      <c r="X12" s="125"/>
      <c r="Y12" s="727"/>
      <c r="Z12" s="724"/>
      <c r="AA12" s="125"/>
      <c r="AB12" s="727"/>
      <c r="AC12" s="724"/>
      <c r="AD12" s="125"/>
      <c r="AE12" s="729" t="s">
        <v>362</v>
      </c>
      <c r="AF12" s="729" t="s">
        <v>437</v>
      </c>
      <c r="AG12" s="123"/>
      <c r="AH12" s="723" t="s">
        <v>438</v>
      </c>
      <c r="AI12" s="723" t="s">
        <v>439</v>
      </c>
      <c r="AJ12" s="723" t="s">
        <v>440</v>
      </c>
      <c r="AK12" s="723" t="s">
        <v>441</v>
      </c>
      <c r="AL12" s="124"/>
      <c r="AM12" s="724"/>
    </row>
    <row r="13" spans="1:39" ht="54" customHeight="1">
      <c r="A13" s="720"/>
      <c r="B13" s="728"/>
      <c r="C13" s="725"/>
      <c r="D13" s="96"/>
      <c r="E13" s="728"/>
      <c r="F13" s="725"/>
      <c r="G13" s="96"/>
      <c r="H13" s="728"/>
      <c r="I13" s="725"/>
      <c r="J13" s="96"/>
      <c r="K13" s="731"/>
      <c r="L13" s="731"/>
      <c r="M13" s="270"/>
      <c r="N13" s="725"/>
      <c r="O13" s="725"/>
      <c r="P13" s="725"/>
      <c r="Q13" s="725"/>
      <c r="R13" s="268"/>
      <c r="S13" s="725"/>
      <c r="U13" s="719"/>
      <c r="V13" s="727"/>
      <c r="W13" s="724"/>
      <c r="X13" s="125"/>
      <c r="Y13" s="727"/>
      <c r="Z13" s="724"/>
      <c r="AA13" s="125"/>
      <c r="AB13" s="727"/>
      <c r="AC13" s="724"/>
      <c r="AD13" s="125"/>
      <c r="AE13" s="730"/>
      <c r="AF13" s="730"/>
      <c r="AG13" s="123"/>
      <c r="AH13" s="724"/>
      <c r="AI13" s="724"/>
      <c r="AJ13" s="724"/>
      <c r="AK13" s="724"/>
      <c r="AL13" s="124"/>
      <c r="AM13" s="724"/>
    </row>
    <row r="14" spans="1:39" ht="3" customHeight="1">
      <c r="Q14" s="97"/>
      <c r="R14" s="97"/>
      <c r="S14" s="97"/>
      <c r="U14" s="720"/>
      <c r="V14" s="728"/>
      <c r="W14" s="725"/>
      <c r="X14" s="96"/>
      <c r="Y14" s="728"/>
      <c r="Z14" s="725"/>
      <c r="AA14" s="96"/>
      <c r="AB14" s="728"/>
      <c r="AC14" s="725"/>
      <c r="AD14" s="96"/>
      <c r="AE14" s="731"/>
      <c r="AF14" s="731"/>
      <c r="AG14" s="270"/>
      <c r="AH14" s="725"/>
      <c r="AI14" s="725"/>
      <c r="AJ14" s="725"/>
      <c r="AK14" s="725"/>
      <c r="AL14" s="268"/>
      <c r="AM14" s="725"/>
    </row>
    <row r="15" spans="1:39" ht="10.15" customHeight="1">
      <c r="A15" s="12" t="s">
        <v>442</v>
      </c>
      <c r="B15" s="34">
        <v>53364</v>
      </c>
      <c r="C15" s="35">
        <v>4.2256952252454836</v>
      </c>
      <c r="D15" s="34"/>
      <c r="E15" s="34">
        <v>17344</v>
      </c>
      <c r="F15" s="35">
        <v>4.3934501845018454</v>
      </c>
      <c r="G15" s="34"/>
      <c r="H15" s="60">
        <v>14148</v>
      </c>
      <c r="I15" s="35">
        <v>3.5411365564037318</v>
      </c>
      <c r="J15" s="34"/>
      <c r="K15" s="34">
        <v>17937</v>
      </c>
      <c r="L15" s="35">
        <v>33.612547785023608</v>
      </c>
      <c r="M15" s="35"/>
      <c r="N15" s="35">
        <v>5.9764732117968444</v>
      </c>
      <c r="O15" s="35">
        <v>36.695099514969058</v>
      </c>
      <c r="P15" s="35">
        <v>12.21497463343926</v>
      </c>
      <c r="Q15" s="35">
        <v>11.044210291576071</v>
      </c>
      <c r="R15" s="35"/>
      <c r="S15" s="35">
        <v>105.54171116648867</v>
      </c>
      <c r="AK15" s="97"/>
      <c r="AL15" s="97"/>
      <c r="AM15" s="97"/>
    </row>
    <row r="16" spans="1:39" ht="10.15" customHeight="1">
      <c r="A16" s="12" t="s">
        <v>443</v>
      </c>
      <c r="B16" s="34">
        <v>54134</v>
      </c>
      <c r="C16" s="35">
        <v>4.1323382716961614</v>
      </c>
      <c r="D16" s="34"/>
      <c r="E16" s="34">
        <v>17043</v>
      </c>
      <c r="F16" s="35">
        <v>4.2363433667781498</v>
      </c>
      <c r="G16" s="34"/>
      <c r="H16" s="60">
        <v>14148</v>
      </c>
      <c r="I16" s="35">
        <v>3.5411365564037318</v>
      </c>
      <c r="J16" s="34"/>
      <c r="K16" s="34">
        <v>19235</v>
      </c>
      <c r="L16" s="35">
        <v>35.532197879336465</v>
      </c>
      <c r="M16" s="35"/>
      <c r="N16" s="35">
        <v>5.8123212893163503</v>
      </c>
      <c r="O16" s="35">
        <v>35.575773329867424</v>
      </c>
      <c r="P16" s="35">
        <v>11.983363659994801</v>
      </c>
      <c r="Q16" s="35">
        <v>11.801403691187938</v>
      </c>
      <c r="R16" s="35"/>
      <c r="S16" s="35">
        <v>106.48962329103963</v>
      </c>
      <c r="U16" s="12" t="s">
        <v>444</v>
      </c>
      <c r="V16" s="34">
        <v>60769</v>
      </c>
      <c r="W16" s="35">
        <v>4.3821685398805315</v>
      </c>
      <c r="X16" s="34"/>
      <c r="Y16" s="34">
        <v>19888</v>
      </c>
      <c r="Z16" s="35">
        <v>4.8018905872888169</v>
      </c>
      <c r="AA16" s="34"/>
      <c r="AB16" s="60">
        <v>16934</v>
      </c>
      <c r="AC16" s="35">
        <v>3.3837250501948737</v>
      </c>
      <c r="AD16" s="34"/>
      <c r="AE16" s="34">
        <v>18070</v>
      </c>
      <c r="AF16" s="35">
        <v>29.735555957807435</v>
      </c>
      <c r="AG16" s="35"/>
      <c r="AH16" s="35">
        <v>5.7941339236303264</v>
      </c>
      <c r="AI16" s="35">
        <v>35.196458218040952</v>
      </c>
      <c r="AJ16" s="35">
        <v>13.176535694521304</v>
      </c>
      <c r="AK16" s="35">
        <v>12.678472606530161</v>
      </c>
      <c r="AL16" s="35"/>
      <c r="AM16" s="35">
        <v>119.88833648989899</v>
      </c>
    </row>
    <row r="17" spans="1:39" ht="10.15" customHeight="1">
      <c r="A17" s="12" t="s">
        <v>445</v>
      </c>
      <c r="B17" s="34">
        <v>56196</v>
      </c>
      <c r="C17" s="35">
        <v>4.2084845896505092</v>
      </c>
      <c r="D17" s="34"/>
      <c r="E17" s="34">
        <v>17683</v>
      </c>
      <c r="F17" s="35">
        <v>4.0830175875134307</v>
      </c>
      <c r="G17" s="34"/>
      <c r="H17" s="60">
        <v>16845</v>
      </c>
      <c r="I17" s="35">
        <v>2.9504303947758976</v>
      </c>
      <c r="J17" s="34"/>
      <c r="K17" s="34">
        <v>19817</v>
      </c>
      <c r="L17" s="35">
        <v>35.264075734927751</v>
      </c>
      <c r="M17" s="35"/>
      <c r="N17" s="35">
        <v>5.5558358984710097</v>
      </c>
      <c r="O17" s="35">
        <v>36.509057879598323</v>
      </c>
      <c r="P17" s="35">
        <v>13.160417823081193</v>
      </c>
      <c r="Q17" s="35">
        <v>13.115002270777614</v>
      </c>
      <c r="R17" s="35"/>
      <c r="S17" s="35">
        <v>109.48410224438902</v>
      </c>
      <c r="U17" s="12" t="s">
        <v>442</v>
      </c>
      <c r="V17" s="34">
        <v>53364</v>
      </c>
      <c r="W17" s="35">
        <v>4.2256952252454836</v>
      </c>
      <c r="X17" s="34"/>
      <c r="Y17" s="34">
        <v>17344</v>
      </c>
      <c r="Z17" s="35">
        <v>4.3934501845018454</v>
      </c>
      <c r="AA17" s="34"/>
      <c r="AB17" s="60">
        <v>14148</v>
      </c>
      <c r="AC17" s="35">
        <v>3.5411365564037318</v>
      </c>
      <c r="AD17" s="34"/>
      <c r="AE17" s="34">
        <v>17937</v>
      </c>
      <c r="AF17" s="35">
        <v>33.612547785023608</v>
      </c>
      <c r="AG17" s="35"/>
      <c r="AH17" s="35">
        <v>5.9764732117968444</v>
      </c>
      <c r="AI17" s="35">
        <v>36.695099514969058</v>
      </c>
      <c r="AJ17" s="35">
        <v>12.21497463343926</v>
      </c>
      <c r="AK17" s="35">
        <v>11.044210291576071</v>
      </c>
      <c r="AL17" s="35"/>
      <c r="AM17" s="35">
        <v>105.54171116648867</v>
      </c>
    </row>
    <row r="18" spans="1:39" ht="10.15" customHeight="1">
      <c r="A18" s="8" t="s">
        <v>446</v>
      </c>
      <c r="B18" s="34">
        <v>60166</v>
      </c>
      <c r="C18" s="35">
        <v>4.2233154938004853</v>
      </c>
      <c r="D18" s="34"/>
      <c r="E18" s="34">
        <v>18894</v>
      </c>
      <c r="F18" s="35">
        <v>3.7101725415475815</v>
      </c>
      <c r="G18" s="34"/>
      <c r="H18" s="60">
        <v>17405</v>
      </c>
      <c r="I18" s="35">
        <v>3.4128124102269459</v>
      </c>
      <c r="J18" s="34"/>
      <c r="K18" s="34">
        <v>20071</v>
      </c>
      <c r="L18" s="35">
        <v>33.35937240301832</v>
      </c>
      <c r="M18" s="35"/>
      <c r="N18" s="35">
        <v>6.1332270439938217</v>
      </c>
      <c r="O18" s="35">
        <v>36.16660853968412</v>
      </c>
      <c r="P18" s="35">
        <v>15.091425439689104</v>
      </c>
      <c r="Q18" s="35">
        <v>14.777539733944497</v>
      </c>
      <c r="R18" s="35"/>
      <c r="S18" s="35">
        <v>117.55993669278415</v>
      </c>
      <c r="U18" s="12" t="s">
        <v>443</v>
      </c>
      <c r="V18" s="34">
        <v>54134</v>
      </c>
      <c r="W18" s="35">
        <v>4.1323382716961614</v>
      </c>
      <c r="X18" s="34"/>
      <c r="Y18" s="34">
        <v>17043</v>
      </c>
      <c r="Z18" s="35">
        <v>4.2363433667781498</v>
      </c>
      <c r="AA18" s="34"/>
      <c r="AB18" s="60">
        <v>14148</v>
      </c>
      <c r="AC18" s="35">
        <v>3.5411365564037318</v>
      </c>
      <c r="AD18" s="34"/>
      <c r="AE18" s="34">
        <v>19235</v>
      </c>
      <c r="AF18" s="35">
        <v>35.532197879336465</v>
      </c>
      <c r="AG18" s="35"/>
      <c r="AH18" s="35">
        <v>5.8123212893163503</v>
      </c>
      <c r="AI18" s="35">
        <v>35.575773329867424</v>
      </c>
      <c r="AJ18" s="35">
        <v>11.983363659994801</v>
      </c>
      <c r="AK18" s="35">
        <v>11.801403691187938</v>
      </c>
      <c r="AL18" s="35"/>
      <c r="AM18" s="35">
        <v>106.48962329103963</v>
      </c>
    </row>
    <row r="19" spans="1:39" ht="9" customHeight="1">
      <c r="F19" s="126"/>
      <c r="U19" s="12" t="s">
        <v>445</v>
      </c>
      <c r="V19" s="34">
        <v>56196</v>
      </c>
      <c r="W19" s="35">
        <v>4.2084845896505092</v>
      </c>
      <c r="X19" s="34"/>
      <c r="Y19" s="34">
        <v>17683</v>
      </c>
      <c r="Z19" s="35">
        <v>4.0830175875134307</v>
      </c>
      <c r="AA19" s="34"/>
      <c r="AB19" s="60">
        <v>16845</v>
      </c>
      <c r="AC19" s="35">
        <v>2.9504303947758976</v>
      </c>
      <c r="AD19" s="34"/>
      <c r="AE19" s="34">
        <v>19817</v>
      </c>
      <c r="AF19" s="35">
        <v>35.264075734927751</v>
      </c>
      <c r="AG19" s="35"/>
      <c r="AH19" s="35">
        <v>5.5558358984710097</v>
      </c>
      <c r="AI19" s="35">
        <v>36.509057879598323</v>
      </c>
      <c r="AJ19" s="35">
        <v>13.160417823081193</v>
      </c>
      <c r="AK19" s="35">
        <v>13.115002270777614</v>
      </c>
      <c r="AL19" s="35"/>
      <c r="AM19" s="35">
        <v>109.48410224438902</v>
      </c>
    </row>
    <row r="20" spans="1:39" s="10" customFormat="1" ht="10.15" customHeight="1">
      <c r="A20" s="9"/>
      <c r="B20" s="733" t="s">
        <v>447</v>
      </c>
      <c r="C20" s="733"/>
      <c r="D20" s="733"/>
      <c r="E20" s="733"/>
      <c r="F20" s="733"/>
      <c r="G20" s="733"/>
      <c r="H20" s="733"/>
      <c r="I20" s="733"/>
      <c r="J20" s="733"/>
      <c r="K20" s="733"/>
      <c r="L20" s="733"/>
      <c r="M20" s="733"/>
      <c r="N20" s="733"/>
      <c r="O20" s="733"/>
      <c r="P20" s="733"/>
      <c r="Q20" s="733"/>
      <c r="R20" s="733"/>
      <c r="S20" s="733"/>
      <c r="U20" s="8"/>
      <c r="V20" s="8"/>
      <c r="W20" s="8"/>
      <c r="X20" s="8"/>
      <c r="Y20" s="8"/>
      <c r="Z20" s="126"/>
      <c r="AA20" s="8"/>
      <c r="AB20" s="8"/>
      <c r="AC20" s="8"/>
      <c r="AD20" s="8"/>
      <c r="AE20" s="8"/>
      <c r="AF20" s="8"/>
      <c r="AG20" s="8"/>
      <c r="AH20" s="8"/>
      <c r="AI20" s="8"/>
      <c r="AJ20" s="8"/>
      <c r="AK20" s="8"/>
      <c r="AL20" s="8"/>
      <c r="AM20" s="8"/>
    </row>
    <row r="21" spans="1:39" ht="3" customHeight="1">
      <c r="U21" s="9"/>
      <c r="V21" s="733" t="s">
        <v>412</v>
      </c>
      <c r="W21" s="733"/>
      <c r="X21" s="733"/>
      <c r="Y21" s="733"/>
      <c r="Z21" s="733"/>
      <c r="AA21" s="733"/>
      <c r="AB21" s="733"/>
      <c r="AC21" s="733"/>
      <c r="AD21" s="733"/>
      <c r="AE21" s="733"/>
      <c r="AF21" s="733"/>
      <c r="AG21" s="733"/>
      <c r="AH21" s="733"/>
      <c r="AI21" s="733"/>
      <c r="AJ21" s="733"/>
      <c r="AK21" s="733"/>
      <c r="AL21" s="733"/>
      <c r="AM21" s="733"/>
    </row>
    <row r="22" spans="1:39" s="97" customFormat="1" ht="10.15" customHeight="1">
      <c r="A22" s="112" t="s">
        <v>226</v>
      </c>
      <c r="B22" s="34">
        <v>4450</v>
      </c>
      <c r="C22" s="35">
        <v>3.393258426966292</v>
      </c>
      <c r="D22" s="35"/>
      <c r="E22" s="34">
        <v>1928</v>
      </c>
      <c r="F22" s="35">
        <v>2.9564315352697093</v>
      </c>
      <c r="G22" s="35"/>
      <c r="H22" s="34">
        <v>1016</v>
      </c>
      <c r="I22" s="35">
        <v>5.8070866141732287</v>
      </c>
      <c r="J22" s="35"/>
      <c r="K22" s="34">
        <v>1530</v>
      </c>
      <c r="L22" s="35">
        <v>34.382022471910112</v>
      </c>
      <c r="M22" s="35"/>
      <c r="N22" s="35">
        <v>5.3594771241830061</v>
      </c>
      <c r="O22" s="35">
        <v>44.836601307189547</v>
      </c>
      <c r="P22" s="35">
        <v>18.758169934640524</v>
      </c>
      <c r="Q22" s="35">
        <v>19.084967320261438</v>
      </c>
      <c r="R22" s="35"/>
      <c r="S22" s="35">
        <v>111.83714501130937</v>
      </c>
      <c r="U22" s="8"/>
      <c r="V22" s="8"/>
      <c r="W22" s="8"/>
      <c r="X22" s="8"/>
      <c r="Y22" s="8"/>
      <c r="Z22" s="8"/>
      <c r="AA22" s="8"/>
      <c r="AB22" s="8"/>
      <c r="AC22" s="8"/>
      <c r="AD22" s="8"/>
      <c r="AE22" s="8"/>
      <c r="AF22" s="8"/>
      <c r="AG22" s="8"/>
      <c r="AH22" s="8"/>
      <c r="AI22" s="8"/>
      <c r="AJ22" s="8"/>
      <c r="AK22" s="8"/>
      <c r="AL22" s="8"/>
      <c r="AM22" s="8"/>
    </row>
    <row r="23" spans="1:39" s="97" customFormat="1" ht="20.149999999999999" customHeight="1">
      <c r="A23" s="113" t="s">
        <v>287</v>
      </c>
      <c r="B23" s="34">
        <v>141</v>
      </c>
      <c r="C23" s="35">
        <v>0</v>
      </c>
      <c r="D23" s="35"/>
      <c r="E23" s="34">
        <v>86</v>
      </c>
      <c r="F23" s="35">
        <v>0</v>
      </c>
      <c r="G23" s="35"/>
      <c r="H23" s="34">
        <v>28</v>
      </c>
      <c r="I23" s="35">
        <v>0</v>
      </c>
      <c r="J23" s="35"/>
      <c r="K23" s="34">
        <v>53</v>
      </c>
      <c r="L23" s="35">
        <v>37.588652482269502</v>
      </c>
      <c r="M23" s="35"/>
      <c r="N23" s="35">
        <v>0</v>
      </c>
      <c r="O23" s="35">
        <v>64.15094339622641</v>
      </c>
      <c r="P23" s="35">
        <v>15.09433962264151</v>
      </c>
      <c r="Q23" s="35">
        <v>15.09433962264151</v>
      </c>
      <c r="R23" s="35"/>
      <c r="S23" s="35">
        <v>77.900552486187848</v>
      </c>
      <c r="U23" s="112" t="s">
        <v>226</v>
      </c>
      <c r="V23" s="60">
        <v>4231</v>
      </c>
      <c r="W23" s="35">
        <v>3.7107066887260696</v>
      </c>
      <c r="X23" s="34"/>
      <c r="Y23" s="34">
        <v>1692</v>
      </c>
      <c r="Z23" s="35">
        <v>3.2505910165484631</v>
      </c>
      <c r="AA23" s="34"/>
      <c r="AB23" s="60">
        <v>790</v>
      </c>
      <c r="AC23" s="35">
        <v>4.6835443037974684</v>
      </c>
      <c r="AD23" s="34"/>
      <c r="AE23" s="34">
        <v>1691</v>
      </c>
      <c r="AF23" s="35">
        <f>AE23/V23*100</f>
        <v>39.966910895769317</v>
      </c>
      <c r="AG23" s="35"/>
      <c r="AH23" s="35">
        <v>5.2631578947368416</v>
      </c>
      <c r="AI23" s="35">
        <v>39.976345357776466</v>
      </c>
      <c r="AJ23" s="35">
        <v>21.939680662329984</v>
      </c>
      <c r="AK23" s="35">
        <v>22.176227084565344</v>
      </c>
      <c r="AL23" s="35"/>
      <c r="AM23" s="35">
        <v>106.2531391260673</v>
      </c>
    </row>
    <row r="24" spans="1:39" s="97" customFormat="1" ht="10.15" customHeight="1">
      <c r="A24" s="112" t="s">
        <v>229</v>
      </c>
      <c r="B24" s="34">
        <v>1334</v>
      </c>
      <c r="C24" s="35">
        <v>5.0974512743628182</v>
      </c>
      <c r="D24" s="35"/>
      <c r="E24" s="34">
        <v>719</v>
      </c>
      <c r="F24" s="35">
        <v>3.8942976356050067</v>
      </c>
      <c r="G24" s="35"/>
      <c r="H24" s="34">
        <v>550</v>
      </c>
      <c r="I24" s="35">
        <v>6.7272727272727275</v>
      </c>
      <c r="J24" s="35"/>
      <c r="K24" s="34">
        <v>377</v>
      </c>
      <c r="L24" s="35">
        <v>28.260869565217391</v>
      </c>
      <c r="M24" s="35"/>
      <c r="N24" s="35">
        <v>7.957559681697612</v>
      </c>
      <c r="O24" s="35">
        <v>59.151193633952261</v>
      </c>
      <c r="P24" s="35">
        <v>15.384615384615385</v>
      </c>
      <c r="Q24" s="35">
        <v>19.363395225464192</v>
      </c>
      <c r="R24" s="35"/>
      <c r="S24" s="35">
        <v>120.18018018018017</v>
      </c>
      <c r="U24" s="113" t="s">
        <v>287</v>
      </c>
      <c r="V24" s="60">
        <v>132</v>
      </c>
      <c r="W24" s="35">
        <v>0</v>
      </c>
      <c r="X24" s="34"/>
      <c r="Y24" s="34">
        <v>72</v>
      </c>
      <c r="Z24" s="35">
        <v>0</v>
      </c>
      <c r="AA24" s="34"/>
      <c r="AB24" s="60">
        <v>17</v>
      </c>
      <c r="AC24" s="35">
        <v>0</v>
      </c>
      <c r="AD24" s="34"/>
      <c r="AE24" s="34">
        <v>36</v>
      </c>
      <c r="AF24" s="35">
        <f t="shared" ref="AF24:AF50" si="0">AE24/V24*100</f>
        <v>27.27272727272727</v>
      </c>
      <c r="AG24" s="35"/>
      <c r="AH24" s="35">
        <v>0</v>
      </c>
      <c r="AI24" s="35">
        <v>83.333333333333343</v>
      </c>
      <c r="AJ24" s="35">
        <v>13.888888888888889</v>
      </c>
      <c r="AK24" s="35">
        <v>11.111111111111111</v>
      </c>
      <c r="AL24" s="35"/>
      <c r="AM24" s="35">
        <v>72.928176795580114</v>
      </c>
    </row>
    <row r="25" spans="1:39" s="97" customFormat="1" ht="10.15" customHeight="1">
      <c r="A25" s="112" t="s">
        <v>230</v>
      </c>
      <c r="B25" s="34">
        <v>8840</v>
      </c>
      <c r="C25" s="35">
        <v>5.0565610859728505</v>
      </c>
      <c r="D25" s="35"/>
      <c r="E25" s="34">
        <v>4041</v>
      </c>
      <c r="F25" s="35">
        <v>3.7614451868349419</v>
      </c>
      <c r="G25" s="35"/>
      <c r="H25" s="34">
        <v>4418</v>
      </c>
      <c r="I25" s="35">
        <v>3.1009506564056135</v>
      </c>
      <c r="J25" s="35"/>
      <c r="K25" s="34">
        <v>3264</v>
      </c>
      <c r="L25" s="35">
        <v>36.923076923076927</v>
      </c>
      <c r="M25" s="35"/>
      <c r="N25" s="35">
        <v>7.5674019607843128</v>
      </c>
      <c r="O25" s="35">
        <v>47.702205882352942</v>
      </c>
      <c r="P25" s="35">
        <v>28.492647058823529</v>
      </c>
      <c r="Q25" s="35">
        <v>19.91421568627451</v>
      </c>
      <c r="R25" s="35"/>
      <c r="S25" s="35">
        <v>143.78659726740403</v>
      </c>
      <c r="U25" s="112" t="s">
        <v>229</v>
      </c>
      <c r="V25" s="60">
        <v>1360</v>
      </c>
      <c r="W25" s="35">
        <v>5</v>
      </c>
      <c r="X25" s="34"/>
      <c r="Y25" s="34">
        <v>743</v>
      </c>
      <c r="Z25" s="35">
        <v>2.9609690444145356</v>
      </c>
      <c r="AA25" s="34"/>
      <c r="AB25" s="60">
        <v>579</v>
      </c>
      <c r="AC25" s="35">
        <v>7.9447322970639025</v>
      </c>
      <c r="AD25" s="34"/>
      <c r="AE25" s="34">
        <v>465</v>
      </c>
      <c r="AF25" s="35">
        <f t="shared" si="0"/>
        <v>34.191176470588239</v>
      </c>
      <c r="AG25" s="35"/>
      <c r="AH25" s="35">
        <v>6.236559139784946</v>
      </c>
      <c r="AI25" s="35">
        <v>58.279569892473113</v>
      </c>
      <c r="AJ25" s="35">
        <v>16.344086021505376</v>
      </c>
      <c r="AK25" s="35">
        <v>14.408602150537634</v>
      </c>
      <c r="AL25" s="35"/>
      <c r="AM25" s="35">
        <v>122.52252252252252</v>
      </c>
    </row>
    <row r="26" spans="1:39" s="97" customFormat="1" ht="27" customHeight="1">
      <c r="A26" s="114" t="s">
        <v>448</v>
      </c>
      <c r="B26" s="34">
        <v>476</v>
      </c>
      <c r="C26" s="35">
        <v>9.6638655462184886</v>
      </c>
      <c r="D26" s="35"/>
      <c r="E26" s="34">
        <v>289</v>
      </c>
      <c r="F26" s="35">
        <v>7.9584775086505193</v>
      </c>
      <c r="G26" s="35"/>
      <c r="H26" s="34">
        <v>113</v>
      </c>
      <c r="I26" s="35">
        <v>8.8495575221238933</v>
      </c>
      <c r="J26" s="35"/>
      <c r="K26" s="34">
        <v>339</v>
      </c>
      <c r="L26" s="35">
        <v>71.21848739495799</v>
      </c>
      <c r="M26" s="35"/>
      <c r="N26" s="35">
        <v>11.504424778761061</v>
      </c>
      <c r="O26" s="35">
        <v>68.731563421828909</v>
      </c>
      <c r="P26" s="35">
        <v>15.044247787610621</v>
      </c>
      <c r="Q26" s="35">
        <v>6.1946902654867255</v>
      </c>
      <c r="R26" s="35"/>
      <c r="S26" s="35">
        <v>93.333333333333329</v>
      </c>
      <c r="U26" s="112" t="s">
        <v>230</v>
      </c>
      <c r="V26" s="60">
        <v>8722</v>
      </c>
      <c r="W26" s="35">
        <v>4.9300619124054119</v>
      </c>
      <c r="X26" s="34"/>
      <c r="Y26" s="34">
        <v>4053</v>
      </c>
      <c r="Z26" s="35">
        <v>3.7503084135208491</v>
      </c>
      <c r="AA26" s="34"/>
      <c r="AB26" s="60">
        <v>3545</v>
      </c>
      <c r="AC26" s="35">
        <v>3.4978843441466854</v>
      </c>
      <c r="AD26" s="34"/>
      <c r="AE26" s="34">
        <v>3163</v>
      </c>
      <c r="AF26" s="35">
        <f t="shared" si="0"/>
        <v>36.264618206833291</v>
      </c>
      <c r="AG26" s="35"/>
      <c r="AH26" s="35">
        <v>9.516282010749288</v>
      </c>
      <c r="AI26" s="35">
        <v>47.960796711982297</v>
      </c>
      <c r="AJ26" s="35">
        <v>25.513752766361048</v>
      </c>
      <c r="AK26" s="35">
        <v>18.526715143850776</v>
      </c>
      <c r="AL26" s="35"/>
      <c r="AM26" s="35">
        <v>141.84420230931858</v>
      </c>
    </row>
    <row r="27" spans="1:39" s="97" customFormat="1" ht="10.15" customHeight="1">
      <c r="A27" s="115" t="s">
        <v>289</v>
      </c>
      <c r="B27" s="34">
        <v>121</v>
      </c>
      <c r="C27" s="35">
        <v>0</v>
      </c>
      <c r="D27" s="35"/>
      <c r="E27" s="34">
        <v>84</v>
      </c>
      <c r="F27" s="35">
        <v>0</v>
      </c>
      <c r="G27" s="35"/>
      <c r="H27" s="34">
        <v>38</v>
      </c>
      <c r="I27" s="35">
        <v>0</v>
      </c>
      <c r="J27" s="35"/>
      <c r="K27" s="34">
        <v>75</v>
      </c>
      <c r="L27" s="35">
        <v>61.983471074380169</v>
      </c>
      <c r="M27" s="35"/>
      <c r="N27" s="35">
        <v>0</v>
      </c>
      <c r="O27" s="35">
        <v>72</v>
      </c>
      <c r="P27" s="35">
        <v>0</v>
      </c>
      <c r="Q27" s="35">
        <v>12</v>
      </c>
      <c r="R27" s="37"/>
      <c r="S27" s="35">
        <v>118.87323943661971</v>
      </c>
      <c r="U27" s="114" t="s">
        <v>448</v>
      </c>
      <c r="V27" s="60">
        <v>483</v>
      </c>
      <c r="W27" s="35">
        <v>5.383022774327122</v>
      </c>
      <c r="X27" s="34"/>
      <c r="Y27" s="34">
        <v>290</v>
      </c>
      <c r="Z27" s="35">
        <v>3.7931034482758621</v>
      </c>
      <c r="AA27" s="34"/>
      <c r="AB27" s="60">
        <v>102</v>
      </c>
      <c r="AC27" s="35">
        <v>9.8039215686274517</v>
      </c>
      <c r="AD27" s="34"/>
      <c r="AE27" s="34">
        <v>172</v>
      </c>
      <c r="AF27" s="35">
        <f t="shared" si="0"/>
        <v>35.610766045548651</v>
      </c>
      <c r="AG27" s="35"/>
      <c r="AH27" s="35">
        <v>8.720930232558139</v>
      </c>
      <c r="AI27" s="35">
        <v>69.767441860465112</v>
      </c>
      <c r="AJ27" s="35">
        <v>24.418604651162788</v>
      </c>
      <c r="AK27" s="35">
        <v>17.441860465116278</v>
      </c>
      <c r="AL27" s="35"/>
      <c r="AM27" s="35">
        <v>94.705882352941174</v>
      </c>
    </row>
    <row r="28" spans="1:39" s="97" customFormat="1" ht="10.15" customHeight="1">
      <c r="A28" s="115" t="s">
        <v>75</v>
      </c>
      <c r="B28" s="34">
        <v>355</v>
      </c>
      <c r="C28" s="35">
        <v>12.957746478873238</v>
      </c>
      <c r="D28" s="35"/>
      <c r="E28" s="34">
        <v>205</v>
      </c>
      <c r="F28" s="35">
        <v>11.219512195121952</v>
      </c>
      <c r="G28" s="35"/>
      <c r="H28" s="34">
        <v>75</v>
      </c>
      <c r="I28" s="35">
        <v>13.333333333333334</v>
      </c>
      <c r="J28" s="35"/>
      <c r="K28" s="34">
        <v>264</v>
      </c>
      <c r="L28" s="35">
        <v>74.366197183098592</v>
      </c>
      <c r="M28" s="35"/>
      <c r="N28" s="35">
        <v>14.772727272727273</v>
      </c>
      <c r="O28" s="35">
        <v>67.803030303030297</v>
      </c>
      <c r="P28" s="35">
        <v>19.318181818181817</v>
      </c>
      <c r="Q28" s="35">
        <v>4.5454545454545459</v>
      </c>
      <c r="R28" s="37"/>
      <c r="S28" s="35">
        <v>72.727272727272734</v>
      </c>
      <c r="U28" s="115" t="s">
        <v>289</v>
      </c>
      <c r="V28" s="60">
        <v>115</v>
      </c>
      <c r="W28" s="35">
        <v>0</v>
      </c>
      <c r="X28" s="36"/>
      <c r="Y28" s="34">
        <v>73</v>
      </c>
      <c r="Z28" s="35">
        <v>0</v>
      </c>
      <c r="AA28" s="36"/>
      <c r="AB28" s="60">
        <v>26</v>
      </c>
      <c r="AC28" s="35">
        <v>0</v>
      </c>
      <c r="AD28" s="36"/>
      <c r="AE28" s="34">
        <v>44</v>
      </c>
      <c r="AF28" s="35">
        <f t="shared" si="0"/>
        <v>38.260869565217391</v>
      </c>
      <c r="AG28" s="35"/>
      <c r="AH28" s="35">
        <v>0</v>
      </c>
      <c r="AI28" s="35">
        <v>79.545454545454547</v>
      </c>
      <c r="AJ28" s="35">
        <v>18.181818181818183</v>
      </c>
      <c r="AK28" s="35">
        <v>34.090909090909086</v>
      </c>
      <c r="AL28" s="37"/>
      <c r="AM28" s="35">
        <v>130.68181818181819</v>
      </c>
    </row>
    <row r="29" spans="1:39" s="97" customFormat="1" ht="10.15" customHeight="1">
      <c r="A29" s="112" t="s">
        <v>233</v>
      </c>
      <c r="B29" s="34">
        <v>2722</v>
      </c>
      <c r="C29" s="35">
        <v>5.216752387950037</v>
      </c>
      <c r="D29" s="35"/>
      <c r="E29" s="34">
        <v>1431</v>
      </c>
      <c r="F29" s="35">
        <v>4.1229909154437454</v>
      </c>
      <c r="G29" s="35"/>
      <c r="H29" s="34">
        <v>930</v>
      </c>
      <c r="I29" s="35">
        <v>2.6881720430107525</v>
      </c>
      <c r="J29" s="35"/>
      <c r="K29" s="34">
        <v>935</v>
      </c>
      <c r="L29" s="35">
        <v>34.349742836149886</v>
      </c>
      <c r="M29" s="35"/>
      <c r="N29" s="35">
        <v>10.267379679144385</v>
      </c>
      <c r="O29" s="35">
        <v>55.294117647058826</v>
      </c>
      <c r="P29" s="35">
        <v>43.957219251336902</v>
      </c>
      <c r="Q29" s="35">
        <v>16.684491978609625</v>
      </c>
      <c r="R29" s="35"/>
      <c r="S29" s="35">
        <v>140.45407636738906</v>
      </c>
      <c r="U29" s="115" t="s">
        <v>75</v>
      </c>
      <c r="V29" s="60">
        <v>368</v>
      </c>
      <c r="W29" s="35">
        <v>7.0652173913043477</v>
      </c>
      <c r="X29" s="36"/>
      <c r="Y29" s="34">
        <v>217</v>
      </c>
      <c r="Z29" s="35">
        <v>5.0691244239631335</v>
      </c>
      <c r="AA29" s="36"/>
      <c r="AB29" s="60">
        <v>76</v>
      </c>
      <c r="AC29" s="35">
        <v>13.157894736842104</v>
      </c>
      <c r="AD29" s="36"/>
      <c r="AE29" s="34">
        <v>128</v>
      </c>
      <c r="AF29" s="35">
        <f t="shared" si="0"/>
        <v>34.782608695652172</v>
      </c>
      <c r="AG29" s="35"/>
      <c r="AH29" s="35">
        <v>11.71875</v>
      </c>
      <c r="AI29" s="35">
        <v>66.40625</v>
      </c>
      <c r="AJ29" s="35">
        <v>26.5625</v>
      </c>
      <c r="AK29" s="35">
        <v>11.71875</v>
      </c>
      <c r="AL29" s="37"/>
      <c r="AM29" s="35">
        <v>87.203791469194314</v>
      </c>
    </row>
    <row r="30" spans="1:39" s="97" customFormat="1" ht="20.149999999999999" customHeight="1">
      <c r="A30" s="11" t="s">
        <v>234</v>
      </c>
      <c r="B30" s="34">
        <v>689</v>
      </c>
      <c r="C30" s="35">
        <v>3.483309143686502</v>
      </c>
      <c r="D30" s="35"/>
      <c r="E30" s="34">
        <v>353</v>
      </c>
      <c r="F30" s="35">
        <v>3.9660056657223794</v>
      </c>
      <c r="G30" s="35"/>
      <c r="H30" s="34">
        <v>177</v>
      </c>
      <c r="I30" s="35">
        <v>7.3446327683615822</v>
      </c>
      <c r="J30" s="35"/>
      <c r="K30" s="34">
        <v>362</v>
      </c>
      <c r="L30" s="35">
        <v>52.539912917271401</v>
      </c>
      <c r="M30" s="35"/>
      <c r="N30" s="35">
        <v>4.4198895027624303</v>
      </c>
      <c r="O30" s="35">
        <v>50</v>
      </c>
      <c r="P30" s="35">
        <v>10.497237569060774</v>
      </c>
      <c r="Q30" s="35">
        <v>13.259668508287293</v>
      </c>
      <c r="R30" s="35"/>
      <c r="S30" s="35">
        <v>142.35537190082647</v>
      </c>
      <c r="U30" s="112" t="s">
        <v>233</v>
      </c>
      <c r="V30" s="60">
        <v>2600</v>
      </c>
      <c r="W30" s="35">
        <v>4.5384615384615383</v>
      </c>
      <c r="X30" s="34"/>
      <c r="Y30" s="34">
        <v>1337</v>
      </c>
      <c r="Z30" s="35">
        <v>3.5901271503365741</v>
      </c>
      <c r="AA30" s="34"/>
      <c r="AB30" s="60">
        <v>731</v>
      </c>
      <c r="AC30" s="35">
        <v>3.4199726402188784</v>
      </c>
      <c r="AD30" s="34"/>
      <c r="AE30" s="34">
        <v>963</v>
      </c>
      <c r="AF30" s="35">
        <f t="shared" si="0"/>
        <v>37.03846153846154</v>
      </c>
      <c r="AG30" s="35"/>
      <c r="AH30" s="35">
        <v>9.9688473520249214</v>
      </c>
      <c r="AI30" s="35">
        <v>54.932502596054</v>
      </c>
      <c r="AJ30" s="35">
        <v>41.225337487019729</v>
      </c>
      <c r="AK30" s="35">
        <v>15.368639667705089</v>
      </c>
      <c r="AL30" s="35"/>
      <c r="AM30" s="35">
        <v>133.53877760657423</v>
      </c>
    </row>
    <row r="31" spans="1:39" s="97" customFormat="1" ht="20.149999999999999" customHeight="1">
      <c r="A31" s="113" t="s">
        <v>235</v>
      </c>
      <c r="B31" s="34">
        <v>3820</v>
      </c>
      <c r="C31" s="35">
        <v>4.1884816753926701</v>
      </c>
      <c r="D31" s="35"/>
      <c r="E31" s="34">
        <v>1910</v>
      </c>
      <c r="F31" s="35">
        <v>2.7748691099476441</v>
      </c>
      <c r="G31" s="35"/>
      <c r="H31" s="34">
        <v>1710</v>
      </c>
      <c r="I31" s="35">
        <v>3.3918128654970756</v>
      </c>
      <c r="J31" s="35"/>
      <c r="K31" s="34">
        <v>1436</v>
      </c>
      <c r="L31" s="35">
        <v>37.59162303664921</v>
      </c>
      <c r="M31" s="35"/>
      <c r="N31" s="35">
        <v>5.2924791086350975</v>
      </c>
      <c r="O31" s="35">
        <v>53.621169916434539</v>
      </c>
      <c r="P31" s="35">
        <v>17.200557103064067</v>
      </c>
      <c r="Q31" s="35">
        <v>14.972144846796656</v>
      </c>
      <c r="R31" s="35"/>
      <c r="S31" s="35">
        <v>127.84471218206157</v>
      </c>
      <c r="U31" s="11" t="s">
        <v>234</v>
      </c>
      <c r="V31" s="60">
        <v>639</v>
      </c>
      <c r="W31" s="35">
        <v>3.755868544600939</v>
      </c>
      <c r="X31" s="34"/>
      <c r="Y31" s="34">
        <v>255</v>
      </c>
      <c r="Z31" s="35">
        <v>3.5294117647058822</v>
      </c>
      <c r="AA31" s="34"/>
      <c r="AB31" s="60">
        <v>134</v>
      </c>
      <c r="AC31" s="35">
        <v>5.9701492537313428</v>
      </c>
      <c r="AD31" s="34"/>
      <c r="AE31" s="34">
        <v>332</v>
      </c>
      <c r="AF31" s="35">
        <f t="shared" si="0"/>
        <v>51.956181533646316</v>
      </c>
      <c r="AG31" s="35"/>
      <c r="AH31" s="35">
        <v>5.7228915662650603</v>
      </c>
      <c r="AI31" s="35">
        <v>44.879518072289152</v>
      </c>
      <c r="AJ31" s="35">
        <v>13.554216867469879</v>
      </c>
      <c r="AK31" s="35">
        <v>18.072289156626507</v>
      </c>
      <c r="AL31" s="35"/>
      <c r="AM31" s="35">
        <v>134.52631578947367</v>
      </c>
    </row>
    <row r="32" spans="1:39" s="97" customFormat="1" ht="10.15" customHeight="1">
      <c r="A32" s="112" t="s">
        <v>236</v>
      </c>
      <c r="B32" s="34">
        <v>3209</v>
      </c>
      <c r="C32" s="35">
        <v>2.9292614521657838</v>
      </c>
      <c r="D32" s="35"/>
      <c r="E32" s="34">
        <v>1487</v>
      </c>
      <c r="F32" s="35">
        <v>2.5554808338937458</v>
      </c>
      <c r="G32" s="35"/>
      <c r="H32" s="34">
        <v>1172</v>
      </c>
      <c r="I32" s="35">
        <v>4.6075085324232079</v>
      </c>
      <c r="J32" s="35"/>
      <c r="K32" s="34">
        <v>1614</v>
      </c>
      <c r="L32" s="35">
        <v>50.296042380803982</v>
      </c>
      <c r="M32" s="35"/>
      <c r="N32" s="35">
        <v>3.2218091697645597</v>
      </c>
      <c r="O32" s="35">
        <v>48.513011152416361</v>
      </c>
      <c r="P32" s="35">
        <v>16.109045848822802</v>
      </c>
      <c r="Q32" s="35">
        <v>20.384138785625776</v>
      </c>
      <c r="R32" s="35"/>
      <c r="S32" s="35">
        <v>101.48640101201771</v>
      </c>
      <c r="U32" s="113" t="s">
        <v>235</v>
      </c>
      <c r="V32" s="60">
        <v>3572</v>
      </c>
      <c r="W32" s="35">
        <v>4.2273236282194846</v>
      </c>
      <c r="X32" s="34"/>
      <c r="Y32" s="34">
        <v>1694</v>
      </c>
      <c r="Z32" s="35">
        <v>3.2467532467532463</v>
      </c>
      <c r="AA32" s="34"/>
      <c r="AB32" s="60">
        <v>1670</v>
      </c>
      <c r="AC32" s="35">
        <v>3.8922155688622757</v>
      </c>
      <c r="AD32" s="34"/>
      <c r="AE32" s="34">
        <v>1158</v>
      </c>
      <c r="AF32" s="35">
        <f t="shared" si="0"/>
        <v>32.418812989921612</v>
      </c>
      <c r="AG32" s="35"/>
      <c r="AH32" s="35">
        <v>4.6632124352331603</v>
      </c>
      <c r="AI32" s="35">
        <v>54.835924006908463</v>
      </c>
      <c r="AJ32" s="35">
        <v>19.775474956822105</v>
      </c>
      <c r="AK32" s="35">
        <v>15.975820379965459</v>
      </c>
      <c r="AL32" s="35"/>
      <c r="AM32" s="35">
        <v>119.90600872776099</v>
      </c>
    </row>
    <row r="33" spans="1:39" s="97" customFormat="1" ht="10.15" customHeight="1">
      <c r="A33" s="112" t="s">
        <v>237</v>
      </c>
      <c r="B33" s="34">
        <v>1616</v>
      </c>
      <c r="C33" s="35">
        <v>4.2079207920792081</v>
      </c>
      <c r="D33" s="35"/>
      <c r="E33" s="34">
        <v>526</v>
      </c>
      <c r="F33" s="35">
        <v>6.4638783269961975</v>
      </c>
      <c r="G33" s="35"/>
      <c r="H33" s="34">
        <v>570</v>
      </c>
      <c r="I33" s="35">
        <v>6.140350877192982</v>
      </c>
      <c r="J33" s="35"/>
      <c r="K33" s="34">
        <v>579</v>
      </c>
      <c r="L33" s="35">
        <v>35.829207920792079</v>
      </c>
      <c r="M33" s="35"/>
      <c r="N33" s="35">
        <v>5.0086355785837648</v>
      </c>
      <c r="O33" s="35">
        <v>37.823834196891191</v>
      </c>
      <c r="P33" s="35">
        <v>9.8445595854922274</v>
      </c>
      <c r="Q33" s="35">
        <v>13.644214162348877</v>
      </c>
      <c r="R33" s="35"/>
      <c r="S33" s="35">
        <v>120.68707991038087</v>
      </c>
      <c r="U33" s="112" t="s">
        <v>236</v>
      </c>
      <c r="V33" s="60">
        <v>3094</v>
      </c>
      <c r="W33" s="35">
        <v>2.7472527472527473</v>
      </c>
      <c r="X33" s="34"/>
      <c r="Y33" s="34">
        <v>1378</v>
      </c>
      <c r="Z33" s="35">
        <v>2.6850507982583456</v>
      </c>
      <c r="AA33" s="34"/>
      <c r="AB33" s="60">
        <v>1214</v>
      </c>
      <c r="AC33" s="35">
        <v>4.5304777594728174</v>
      </c>
      <c r="AD33" s="34"/>
      <c r="AE33" s="34">
        <v>1423</v>
      </c>
      <c r="AF33" s="35">
        <f t="shared" si="0"/>
        <v>45.992243051066581</v>
      </c>
      <c r="AG33" s="35"/>
      <c r="AH33" s="35">
        <v>3.5137034434293746</v>
      </c>
      <c r="AI33" s="35">
        <v>48.840477863668305</v>
      </c>
      <c r="AJ33" s="35">
        <v>17.427969079409696</v>
      </c>
      <c r="AK33" s="35">
        <v>20.871398453970485</v>
      </c>
      <c r="AL33" s="35"/>
      <c r="AM33" s="35">
        <v>97.818526715143847</v>
      </c>
    </row>
    <row r="34" spans="1:39" ht="10.15" customHeight="1">
      <c r="A34" s="112" t="s">
        <v>238</v>
      </c>
      <c r="B34" s="34">
        <v>953</v>
      </c>
      <c r="C34" s="35">
        <v>2.3084994753410282</v>
      </c>
      <c r="D34" s="35"/>
      <c r="E34" s="34">
        <v>298</v>
      </c>
      <c r="F34" s="35">
        <v>1.6778523489932886</v>
      </c>
      <c r="G34" s="35"/>
      <c r="H34" s="34">
        <v>235</v>
      </c>
      <c r="I34" s="35">
        <v>2.5531914893617018</v>
      </c>
      <c r="J34" s="35"/>
      <c r="K34" s="34">
        <v>340</v>
      </c>
      <c r="L34" s="35">
        <v>35.676810073452259</v>
      </c>
      <c r="M34" s="35"/>
      <c r="N34" s="35">
        <v>3.5294117647058822</v>
      </c>
      <c r="O34" s="35">
        <v>32.647058823529413</v>
      </c>
      <c r="P34" s="35">
        <v>15.294117647058824</v>
      </c>
      <c r="Q34" s="35">
        <v>23.235294117647058</v>
      </c>
      <c r="R34" s="35"/>
      <c r="S34" s="35">
        <v>113.45238095238095</v>
      </c>
      <c r="U34" s="112" t="s">
        <v>237</v>
      </c>
      <c r="V34" s="60">
        <v>1484</v>
      </c>
      <c r="W34" s="35">
        <v>3.7735849056603774</v>
      </c>
      <c r="X34" s="34"/>
      <c r="Y34" s="34">
        <v>414</v>
      </c>
      <c r="Z34" s="35">
        <v>5.0724637681159424</v>
      </c>
      <c r="AA34" s="34"/>
      <c r="AB34" s="60">
        <v>315</v>
      </c>
      <c r="AC34" s="35">
        <v>1.5873015873015872</v>
      </c>
      <c r="AD34" s="34"/>
      <c r="AE34" s="34">
        <v>570</v>
      </c>
      <c r="AF34" s="35">
        <f t="shared" si="0"/>
        <v>38.409703504043122</v>
      </c>
      <c r="AG34" s="35"/>
      <c r="AH34" s="35">
        <v>5.0877192982456139</v>
      </c>
      <c r="AI34" s="35">
        <v>36.491228070175438</v>
      </c>
      <c r="AJ34" s="35">
        <v>10.175438596491228</v>
      </c>
      <c r="AK34" s="35">
        <v>13.157894736842104</v>
      </c>
      <c r="AL34" s="35"/>
      <c r="AM34" s="35">
        <v>110.41666666666667</v>
      </c>
    </row>
    <row r="35" spans="1:39" s="97" customFormat="1" ht="10.15" customHeight="1">
      <c r="A35" s="112" t="s">
        <v>239</v>
      </c>
      <c r="B35" s="34">
        <v>6665</v>
      </c>
      <c r="C35" s="35">
        <v>6.796699174793698</v>
      </c>
      <c r="D35" s="35"/>
      <c r="E35" s="34">
        <v>2452</v>
      </c>
      <c r="F35" s="35">
        <v>6.076672104404568</v>
      </c>
      <c r="G35" s="35"/>
      <c r="H35" s="34">
        <v>2495</v>
      </c>
      <c r="I35" s="35">
        <v>5.0100200400801604</v>
      </c>
      <c r="J35" s="35"/>
      <c r="K35" s="34">
        <v>1788</v>
      </c>
      <c r="L35" s="35">
        <v>26.826706676669165</v>
      </c>
      <c r="M35" s="35"/>
      <c r="N35" s="35">
        <v>11.017897091722595</v>
      </c>
      <c r="O35" s="35">
        <v>38.926174496644293</v>
      </c>
      <c r="P35" s="35">
        <v>7.7740492170022364</v>
      </c>
      <c r="Q35" s="35">
        <v>10.682326621923938</v>
      </c>
      <c r="R35" s="35"/>
      <c r="S35" s="35">
        <v>126.18326391518364</v>
      </c>
      <c r="U35" s="112" t="s">
        <v>238</v>
      </c>
      <c r="V35" s="60">
        <v>919</v>
      </c>
      <c r="W35" s="35">
        <v>2.6115342763873777</v>
      </c>
      <c r="X35" s="34"/>
      <c r="Y35" s="34">
        <v>311</v>
      </c>
      <c r="Z35" s="35">
        <v>1.929260450160772</v>
      </c>
      <c r="AA35" s="34"/>
      <c r="AB35" s="60">
        <v>251</v>
      </c>
      <c r="AC35" s="35">
        <v>2.3904382470119523</v>
      </c>
      <c r="AD35" s="34"/>
      <c r="AE35" s="34">
        <v>380</v>
      </c>
      <c r="AF35" s="35">
        <f t="shared" si="0"/>
        <v>41.349292709466809</v>
      </c>
      <c r="AG35" s="35"/>
      <c r="AH35" s="35">
        <v>3.6842105263157889</v>
      </c>
      <c r="AI35" s="35">
        <v>40.526315789473685</v>
      </c>
      <c r="AJ35" s="35">
        <v>11.578947368421053</v>
      </c>
      <c r="AK35" s="35">
        <v>18.421052631578945</v>
      </c>
      <c r="AL35" s="35"/>
      <c r="AM35" s="35">
        <v>109.79689366786141</v>
      </c>
    </row>
    <row r="36" spans="1:39" s="97" customFormat="1" ht="10.15" customHeight="1">
      <c r="A36" s="112" t="s">
        <v>240</v>
      </c>
      <c r="B36" s="34">
        <v>2057</v>
      </c>
      <c r="C36" s="35">
        <v>4.0836169178415167</v>
      </c>
      <c r="D36" s="35"/>
      <c r="E36" s="34">
        <v>467</v>
      </c>
      <c r="F36" s="35">
        <v>2.3554603854389722</v>
      </c>
      <c r="G36" s="35"/>
      <c r="H36" s="34">
        <v>422</v>
      </c>
      <c r="I36" s="35">
        <v>4.9763033175355451</v>
      </c>
      <c r="J36" s="35"/>
      <c r="K36" s="34">
        <v>824</v>
      </c>
      <c r="L36" s="35">
        <v>40.058337384540593</v>
      </c>
      <c r="M36" s="35"/>
      <c r="N36" s="35">
        <v>5.3398058252427179</v>
      </c>
      <c r="O36" s="35">
        <v>23.422330097087379</v>
      </c>
      <c r="P36" s="35">
        <v>9.2233009708737868</v>
      </c>
      <c r="Q36" s="35">
        <v>11.286407766990292</v>
      </c>
      <c r="R36" s="35"/>
      <c r="S36" s="35">
        <v>112.40437158469945</v>
      </c>
      <c r="U36" s="112" t="s">
        <v>239</v>
      </c>
      <c r="V36" s="60">
        <v>6537</v>
      </c>
      <c r="W36" s="35">
        <v>6.6544286369894445</v>
      </c>
      <c r="X36" s="34"/>
      <c r="Y36" s="34">
        <v>2486</v>
      </c>
      <c r="Z36" s="35">
        <v>6.3555913113435238</v>
      </c>
      <c r="AA36" s="34"/>
      <c r="AB36" s="60">
        <v>2569</v>
      </c>
      <c r="AC36" s="35">
        <v>2.9583495523550019</v>
      </c>
      <c r="AD36" s="34"/>
      <c r="AE36" s="34">
        <v>1806</v>
      </c>
      <c r="AF36" s="35">
        <f t="shared" si="0"/>
        <v>27.627351996328592</v>
      </c>
      <c r="AG36" s="35"/>
      <c r="AH36" s="35">
        <v>8.3610188261351048</v>
      </c>
      <c r="AI36" s="35">
        <v>41.362126245847172</v>
      </c>
      <c r="AJ36" s="35">
        <v>6.2569213732004432</v>
      </c>
      <c r="AK36" s="35">
        <v>11.627906976744185</v>
      </c>
      <c r="AL36" s="35"/>
      <c r="AM36" s="35">
        <v>123.71309613928842</v>
      </c>
    </row>
    <row r="37" spans="1:39" s="97" customFormat="1" ht="10.15" customHeight="1">
      <c r="A37" s="112" t="s">
        <v>241</v>
      </c>
      <c r="B37" s="34">
        <v>377</v>
      </c>
      <c r="C37" s="35">
        <v>0</v>
      </c>
      <c r="D37" s="35"/>
      <c r="E37" s="34">
        <v>78</v>
      </c>
      <c r="F37" s="35">
        <v>0</v>
      </c>
      <c r="G37" s="35"/>
      <c r="H37" s="34">
        <v>141</v>
      </c>
      <c r="I37" s="35">
        <v>0</v>
      </c>
      <c r="J37" s="35"/>
      <c r="K37" s="34">
        <v>106</v>
      </c>
      <c r="L37" s="35">
        <v>28.116710875331563</v>
      </c>
      <c r="M37" s="35"/>
      <c r="N37" s="35">
        <v>0</v>
      </c>
      <c r="O37" s="35">
        <v>23.584905660377359</v>
      </c>
      <c r="P37" s="35">
        <v>1.8867924528301887</v>
      </c>
      <c r="Q37" s="35">
        <v>2.8301886792452833</v>
      </c>
      <c r="R37" s="35"/>
      <c r="S37" s="35">
        <v>139.62962962962965</v>
      </c>
      <c r="U37" s="112" t="s">
        <v>240</v>
      </c>
      <c r="V37" s="60">
        <v>1958</v>
      </c>
      <c r="W37" s="35">
        <v>4.1879468845760979</v>
      </c>
      <c r="X37" s="34"/>
      <c r="Y37" s="34">
        <v>366</v>
      </c>
      <c r="Z37" s="35">
        <v>1.9125683060109291</v>
      </c>
      <c r="AA37" s="34"/>
      <c r="AB37" s="60">
        <v>338</v>
      </c>
      <c r="AC37" s="35">
        <v>3.2544378698224854</v>
      </c>
      <c r="AD37" s="34"/>
      <c r="AE37" s="34">
        <v>824</v>
      </c>
      <c r="AF37" s="35">
        <f t="shared" si="0"/>
        <v>42.08375893769152</v>
      </c>
      <c r="AG37" s="35"/>
      <c r="AH37" s="35">
        <v>4.6116504854368934</v>
      </c>
      <c r="AI37" s="35">
        <v>21.966019417475728</v>
      </c>
      <c r="AJ37" s="35">
        <v>4.6116504854368934</v>
      </c>
      <c r="AK37" s="35">
        <v>6.1893203883495147</v>
      </c>
      <c r="AL37" s="35"/>
      <c r="AM37" s="35">
        <v>115.92658377738307</v>
      </c>
    </row>
    <row r="38" spans="1:39" s="97" customFormat="1" ht="10.15" customHeight="1">
      <c r="A38" s="112" t="s">
        <v>242</v>
      </c>
      <c r="B38" s="34">
        <v>7496</v>
      </c>
      <c r="C38" s="35">
        <v>4.6824973319103522</v>
      </c>
      <c r="D38" s="35"/>
      <c r="E38" s="34">
        <v>892</v>
      </c>
      <c r="F38" s="35">
        <v>4.8206278026905833</v>
      </c>
      <c r="G38" s="35"/>
      <c r="H38" s="34">
        <v>1873</v>
      </c>
      <c r="I38" s="35">
        <v>2.2423918846769886</v>
      </c>
      <c r="J38" s="35"/>
      <c r="K38" s="34">
        <v>2015</v>
      </c>
      <c r="L38" s="35">
        <v>26.881003201707575</v>
      </c>
      <c r="M38" s="35"/>
      <c r="N38" s="35">
        <v>6.6004962779156324</v>
      </c>
      <c r="O38" s="35">
        <v>15.682382133995038</v>
      </c>
      <c r="P38" s="35">
        <v>6.6997518610421833</v>
      </c>
      <c r="Q38" s="35">
        <v>9.9255583126550881</v>
      </c>
      <c r="R38" s="35"/>
      <c r="S38" s="35">
        <v>121.37305699481867</v>
      </c>
      <c r="U38" s="112" t="s">
        <v>241</v>
      </c>
      <c r="V38" s="60">
        <v>317</v>
      </c>
      <c r="W38" s="35">
        <v>0</v>
      </c>
      <c r="X38" s="34"/>
      <c r="Y38" s="34">
        <v>65</v>
      </c>
      <c r="Z38" s="35">
        <v>0</v>
      </c>
      <c r="AA38" s="34"/>
      <c r="AB38" s="60">
        <v>91</v>
      </c>
      <c r="AC38" s="35">
        <v>0</v>
      </c>
      <c r="AD38" s="34"/>
      <c r="AE38" s="34">
        <v>81</v>
      </c>
      <c r="AF38" s="35">
        <f t="shared" si="0"/>
        <v>25.552050473186121</v>
      </c>
      <c r="AG38" s="35"/>
      <c r="AH38" s="35">
        <v>0</v>
      </c>
      <c r="AI38" s="35">
        <v>23.456790123456788</v>
      </c>
      <c r="AJ38" s="35">
        <v>0</v>
      </c>
      <c r="AK38" s="35">
        <v>3.7037037037037033</v>
      </c>
      <c r="AL38" s="35"/>
      <c r="AM38" s="35">
        <v>115.27272727272727</v>
      </c>
    </row>
    <row r="39" spans="1:39" s="97" customFormat="1" ht="10.15" customHeight="1">
      <c r="A39" s="112" t="s">
        <v>243</v>
      </c>
      <c r="B39" s="34">
        <v>4355</v>
      </c>
      <c r="C39" s="35">
        <v>5.0975889781859935</v>
      </c>
      <c r="D39" s="35"/>
      <c r="E39" s="34">
        <v>486</v>
      </c>
      <c r="F39" s="35">
        <v>5.761316872427984</v>
      </c>
      <c r="G39" s="35"/>
      <c r="H39" s="34">
        <v>1251</v>
      </c>
      <c r="I39" s="35">
        <v>4.4764188649080738</v>
      </c>
      <c r="J39" s="35"/>
      <c r="K39" s="34">
        <v>1381</v>
      </c>
      <c r="L39" s="35">
        <v>31.710677382319176</v>
      </c>
      <c r="M39" s="35"/>
      <c r="N39" s="35">
        <v>5.7204923968139028</v>
      </c>
      <c r="O39" s="35">
        <v>7.8928312816799417</v>
      </c>
      <c r="P39" s="35">
        <v>12.816799420709632</v>
      </c>
      <c r="Q39" s="35">
        <v>12.816799420709632</v>
      </c>
      <c r="R39" s="35"/>
      <c r="S39" s="35">
        <v>147.97825348284064</v>
      </c>
      <c r="U39" s="112" t="s">
        <v>242</v>
      </c>
      <c r="V39" s="60">
        <v>7330</v>
      </c>
      <c r="W39" s="35">
        <v>4.7748976807639831</v>
      </c>
      <c r="X39" s="34"/>
      <c r="Y39" s="34">
        <v>898</v>
      </c>
      <c r="Z39" s="35">
        <v>4.3429844097995547</v>
      </c>
      <c r="AA39" s="34"/>
      <c r="AB39" s="60">
        <v>1727</v>
      </c>
      <c r="AC39" s="35">
        <v>1.5634047481181239</v>
      </c>
      <c r="AD39" s="34"/>
      <c r="AE39" s="34">
        <v>1925</v>
      </c>
      <c r="AF39" s="35">
        <f t="shared" si="0"/>
        <v>26.26193724420191</v>
      </c>
      <c r="AG39" s="35"/>
      <c r="AH39" s="35">
        <v>8.6753246753246742</v>
      </c>
      <c r="AI39" s="35">
        <v>16.103896103896105</v>
      </c>
      <c r="AJ39" s="35">
        <v>7.4805194805194803</v>
      </c>
      <c r="AK39" s="35">
        <v>10.493506493506494</v>
      </c>
      <c r="AL39" s="35"/>
      <c r="AM39" s="35">
        <v>118.78139685626317</v>
      </c>
    </row>
    <row r="40" spans="1:39" s="97" customFormat="1" ht="10.15" customHeight="1">
      <c r="A40" s="112" t="s">
        <v>244</v>
      </c>
      <c r="B40" s="34">
        <v>459</v>
      </c>
      <c r="C40" s="35">
        <v>0</v>
      </c>
      <c r="D40" s="35"/>
      <c r="E40" s="34">
        <v>50</v>
      </c>
      <c r="F40" s="35">
        <v>0</v>
      </c>
      <c r="G40" s="35"/>
      <c r="H40" s="34">
        <v>89</v>
      </c>
      <c r="I40" s="35">
        <v>0</v>
      </c>
      <c r="J40" s="35"/>
      <c r="K40" s="34">
        <v>108</v>
      </c>
      <c r="L40" s="35">
        <v>23.52941176470588</v>
      </c>
      <c r="M40" s="35"/>
      <c r="N40" s="35">
        <v>0</v>
      </c>
      <c r="O40" s="35">
        <v>13.888888888888889</v>
      </c>
      <c r="P40" s="35">
        <v>3.7037037037037033</v>
      </c>
      <c r="Q40" s="35">
        <v>13.888888888888889</v>
      </c>
      <c r="R40" s="35"/>
      <c r="S40" s="35">
        <v>124.7282608695652</v>
      </c>
      <c r="U40" s="112" t="s">
        <v>243</v>
      </c>
      <c r="V40" s="60">
        <v>4420</v>
      </c>
      <c r="W40" s="35">
        <v>4.8416289592760187</v>
      </c>
      <c r="X40" s="34"/>
      <c r="Y40" s="34">
        <v>574</v>
      </c>
      <c r="Z40" s="35">
        <v>3.8327526132404177</v>
      </c>
      <c r="AA40" s="34"/>
      <c r="AB40" s="60">
        <v>1224</v>
      </c>
      <c r="AC40" s="35">
        <v>3.4313725490196081</v>
      </c>
      <c r="AD40" s="34"/>
      <c r="AE40" s="34">
        <v>1345</v>
      </c>
      <c r="AF40" s="35">
        <f t="shared" si="0"/>
        <v>30.429864253393664</v>
      </c>
      <c r="AG40" s="35"/>
      <c r="AH40" s="35">
        <v>6.5427509293680295</v>
      </c>
      <c r="AI40" s="35">
        <v>11.672862453531598</v>
      </c>
      <c r="AJ40" s="35">
        <v>12.490706319702602</v>
      </c>
      <c r="AK40" s="35">
        <v>11.970260223048328</v>
      </c>
      <c r="AL40" s="35"/>
      <c r="AM40" s="35">
        <v>151.78571428571428</v>
      </c>
    </row>
    <row r="41" spans="1:39" s="97" customFormat="1" ht="10.15" customHeight="1">
      <c r="A41" s="112" t="s">
        <v>245</v>
      </c>
      <c r="B41" s="34">
        <v>2977</v>
      </c>
      <c r="C41" s="35">
        <v>2.1498152502519314</v>
      </c>
      <c r="D41" s="35"/>
      <c r="E41" s="34">
        <v>587</v>
      </c>
      <c r="F41" s="35">
        <v>0.85178875638841567</v>
      </c>
      <c r="G41" s="35"/>
      <c r="H41" s="34">
        <v>379</v>
      </c>
      <c r="I41" s="35">
        <v>2.6385224274406331</v>
      </c>
      <c r="J41" s="35"/>
      <c r="K41" s="34">
        <v>1104</v>
      </c>
      <c r="L41" s="35">
        <v>37.084313066845823</v>
      </c>
      <c r="M41" s="35"/>
      <c r="N41" s="35">
        <v>1.2681159420289856</v>
      </c>
      <c r="O41" s="35">
        <v>21.739130434782609</v>
      </c>
      <c r="P41" s="35">
        <v>5.7065217391304346</v>
      </c>
      <c r="Q41" s="35">
        <v>10.326086956521738</v>
      </c>
      <c r="R41" s="35"/>
      <c r="S41" s="35">
        <v>109.8118775359646</v>
      </c>
      <c r="U41" s="112" t="s">
        <v>244</v>
      </c>
      <c r="V41" s="60">
        <v>479</v>
      </c>
      <c r="W41" s="35">
        <v>0</v>
      </c>
      <c r="X41" s="34"/>
      <c r="Y41" s="34">
        <v>58</v>
      </c>
      <c r="Z41" s="35">
        <v>0</v>
      </c>
      <c r="AA41" s="34"/>
      <c r="AB41" s="60">
        <v>81</v>
      </c>
      <c r="AC41" s="35">
        <v>0</v>
      </c>
      <c r="AD41" s="34"/>
      <c r="AE41" s="34">
        <v>115</v>
      </c>
      <c r="AF41" s="35">
        <f t="shared" si="0"/>
        <v>24.008350730688935</v>
      </c>
      <c r="AG41" s="35"/>
      <c r="AH41" s="35">
        <v>0</v>
      </c>
      <c r="AI41" s="35">
        <v>10.434782608695652</v>
      </c>
      <c r="AJ41" s="35">
        <v>4.3478260869565215</v>
      </c>
      <c r="AK41" s="35">
        <v>9.5652173913043477</v>
      </c>
      <c r="AL41" s="35"/>
      <c r="AM41" s="35">
        <v>130.16304347826087</v>
      </c>
    </row>
    <row r="42" spans="1:39" s="97" customFormat="1" ht="10.15" customHeight="1">
      <c r="A42" s="112" t="s">
        <v>246</v>
      </c>
      <c r="B42" s="34">
        <v>6936</v>
      </c>
      <c r="C42" s="35">
        <v>3.6476355247981549</v>
      </c>
      <c r="D42" s="35"/>
      <c r="E42" s="34">
        <v>1029</v>
      </c>
      <c r="F42" s="35">
        <v>4.3731778425655978</v>
      </c>
      <c r="G42" s="35"/>
      <c r="H42" s="34">
        <v>1677</v>
      </c>
      <c r="I42" s="35">
        <v>1.6696481812760882</v>
      </c>
      <c r="J42" s="35"/>
      <c r="K42" s="34">
        <v>2131</v>
      </c>
      <c r="L42" s="35">
        <v>30.723760092272201</v>
      </c>
      <c r="M42" s="35"/>
      <c r="N42" s="35">
        <v>3.5194744251525107</v>
      </c>
      <c r="O42" s="35">
        <v>18.864382918817459</v>
      </c>
      <c r="P42" s="35">
        <v>4.6457062412013137</v>
      </c>
      <c r="Q42" s="35">
        <v>10.652275926794932</v>
      </c>
      <c r="R42" s="35"/>
      <c r="S42" s="35">
        <v>107.71858984314335</v>
      </c>
      <c r="U42" s="112" t="s">
        <v>245</v>
      </c>
      <c r="V42" s="60">
        <v>3038</v>
      </c>
      <c r="W42" s="35">
        <v>2.0408163265306123</v>
      </c>
      <c r="X42" s="34"/>
      <c r="Y42" s="34">
        <v>667</v>
      </c>
      <c r="Z42" s="35">
        <v>1.4992503748125936</v>
      </c>
      <c r="AA42" s="34"/>
      <c r="AB42" s="60">
        <v>360</v>
      </c>
      <c r="AC42" s="35">
        <v>1.3888888888888888</v>
      </c>
      <c r="AD42" s="34"/>
      <c r="AE42" s="34">
        <v>1064</v>
      </c>
      <c r="AF42" s="35">
        <f t="shared" si="0"/>
        <v>35.023041474654377</v>
      </c>
      <c r="AG42" s="35"/>
      <c r="AH42" s="35">
        <v>1.5037593984962405</v>
      </c>
      <c r="AI42" s="35">
        <v>22.274436090225564</v>
      </c>
      <c r="AJ42" s="35">
        <v>5.1691729323308264</v>
      </c>
      <c r="AK42" s="35">
        <v>7.8947368421052628</v>
      </c>
      <c r="AL42" s="35"/>
      <c r="AM42" s="35">
        <v>112.06196975285873</v>
      </c>
    </row>
    <row r="43" spans="1:39" s="97" customFormat="1" ht="10.15" customHeight="1">
      <c r="A43" s="112" t="s">
        <v>415</v>
      </c>
      <c r="B43" s="34">
        <v>2289</v>
      </c>
      <c r="C43" s="35">
        <v>2.1406727828746175</v>
      </c>
      <c r="D43" s="35"/>
      <c r="E43" s="34">
        <v>585</v>
      </c>
      <c r="F43" s="35">
        <v>2.7350427350427351</v>
      </c>
      <c r="G43" s="35"/>
      <c r="H43" s="34">
        <v>509</v>
      </c>
      <c r="I43" s="35">
        <v>3.5363457760314341</v>
      </c>
      <c r="J43" s="35"/>
      <c r="K43" s="34">
        <v>949</v>
      </c>
      <c r="L43" s="35">
        <v>41.459152468326785</v>
      </c>
      <c r="M43" s="35"/>
      <c r="N43" s="35">
        <v>3.0558482613277134</v>
      </c>
      <c r="O43" s="35">
        <v>30.558482613277132</v>
      </c>
      <c r="P43" s="35">
        <v>8.2191780821917799</v>
      </c>
      <c r="Q43" s="35">
        <v>11.696522655426765</v>
      </c>
      <c r="R43" s="35"/>
      <c r="S43" s="35">
        <v>87.566947207345066</v>
      </c>
      <c r="U43" s="112" t="s">
        <v>246</v>
      </c>
      <c r="V43" s="60">
        <v>6711</v>
      </c>
      <c r="W43" s="35">
        <v>3.2483981522872893</v>
      </c>
      <c r="X43" s="34"/>
      <c r="Y43" s="34">
        <v>1022</v>
      </c>
      <c r="Z43" s="35">
        <v>4.0117416829745594</v>
      </c>
      <c r="AA43" s="34"/>
      <c r="AB43" s="60">
        <v>1192</v>
      </c>
      <c r="AC43" s="35">
        <v>3.1879194630872485</v>
      </c>
      <c r="AD43" s="34"/>
      <c r="AE43" s="34">
        <v>1854</v>
      </c>
      <c r="AF43" s="35">
        <f t="shared" si="0"/>
        <v>27.626285203397405</v>
      </c>
      <c r="AG43" s="35"/>
      <c r="AH43" s="35">
        <v>3.1823085221143472</v>
      </c>
      <c r="AI43" s="35">
        <v>19.30960086299892</v>
      </c>
      <c r="AJ43" s="35">
        <v>6.4724919093851128</v>
      </c>
      <c r="AK43" s="35">
        <v>13.106796116504855</v>
      </c>
      <c r="AL43" s="35"/>
      <c r="AM43" s="35">
        <v>103.62878319950586</v>
      </c>
    </row>
    <row r="44" spans="1:39" s="98" customFormat="1" ht="10.15" customHeight="1">
      <c r="A44" s="116" t="s">
        <v>248</v>
      </c>
      <c r="B44" s="38">
        <v>14765</v>
      </c>
      <c r="C44" s="39">
        <v>4.5106671181848963</v>
      </c>
      <c r="D44" s="39"/>
      <c r="E44" s="38">
        <v>6774</v>
      </c>
      <c r="F44" s="39">
        <v>3.4986713906111606</v>
      </c>
      <c r="G44" s="39"/>
      <c r="H44" s="38">
        <v>6012</v>
      </c>
      <c r="I44" s="39">
        <v>3.8755821689953422</v>
      </c>
      <c r="J44" s="39"/>
      <c r="K44" s="38">
        <v>5224</v>
      </c>
      <c r="L44" s="39">
        <v>35.380968506603452</v>
      </c>
      <c r="M44" s="39"/>
      <c r="N44" s="39">
        <v>6.8721286370597241</v>
      </c>
      <c r="O44" s="39">
        <v>47.856049004594183</v>
      </c>
      <c r="P44" s="39">
        <v>24.559724349157733</v>
      </c>
      <c r="Q44" s="39">
        <v>19.582695252679937</v>
      </c>
      <c r="R44" s="39"/>
      <c r="S44" s="39">
        <v>129.30000000000001</v>
      </c>
      <c r="U44" s="112" t="s">
        <v>415</v>
      </c>
      <c r="V44" s="60">
        <v>2140</v>
      </c>
      <c r="W44" s="35">
        <v>1.9158878504672898</v>
      </c>
      <c r="X44" s="34"/>
      <c r="Y44" s="34">
        <v>519</v>
      </c>
      <c r="Z44" s="35">
        <v>1.5414258188824663</v>
      </c>
      <c r="AA44" s="34"/>
      <c r="AB44" s="60">
        <v>475</v>
      </c>
      <c r="AC44" s="35">
        <v>2.9473684210526314</v>
      </c>
      <c r="AD44" s="34"/>
      <c r="AE44" s="34">
        <v>704</v>
      </c>
      <c r="AF44" s="35">
        <f t="shared" si="0"/>
        <v>32.897196261682247</v>
      </c>
      <c r="AG44" s="35"/>
      <c r="AH44" s="35">
        <v>2.2727272727272729</v>
      </c>
      <c r="AI44" s="35">
        <v>36.079545454545453</v>
      </c>
      <c r="AJ44" s="35">
        <v>9.0909090909090917</v>
      </c>
      <c r="AK44" s="35">
        <v>14.772727272727273</v>
      </c>
      <c r="AL44" s="35"/>
      <c r="AM44" s="35">
        <v>81.804281345565755</v>
      </c>
    </row>
    <row r="45" spans="1:39" s="98" customFormat="1" ht="10.15" customHeight="1">
      <c r="A45" s="116" t="s">
        <v>249</v>
      </c>
      <c r="B45" s="38">
        <v>7707</v>
      </c>
      <c r="C45" s="39">
        <v>4.8267808485792134</v>
      </c>
      <c r="D45" s="39"/>
      <c r="E45" s="38">
        <v>3983</v>
      </c>
      <c r="F45" s="39">
        <v>3.7408988199849356</v>
      </c>
      <c r="G45" s="39"/>
      <c r="H45" s="38">
        <v>2930</v>
      </c>
      <c r="I45" s="39">
        <v>3.6177474402730376</v>
      </c>
      <c r="J45" s="39"/>
      <c r="K45" s="38">
        <v>3072</v>
      </c>
      <c r="L45" s="39">
        <v>39.85986765278318</v>
      </c>
      <c r="M45" s="39"/>
      <c r="N45" s="39">
        <v>7.389322916666667</v>
      </c>
      <c r="O45" s="39">
        <v>55.37109375</v>
      </c>
      <c r="P45" s="39">
        <v>24.31640625</v>
      </c>
      <c r="Q45" s="39">
        <v>14.322916666666666</v>
      </c>
      <c r="R45" s="39"/>
      <c r="S45" s="39">
        <v>130.19999999999999</v>
      </c>
      <c r="U45" s="116" t="s">
        <v>248</v>
      </c>
      <c r="V45" s="61">
        <v>14445</v>
      </c>
      <c r="W45" s="39">
        <v>4.5344409830391141</v>
      </c>
      <c r="X45" s="38"/>
      <c r="Y45" s="38">
        <f>+SUM(Y23:Y26)</f>
        <v>6560</v>
      </c>
      <c r="Z45" s="39">
        <v>3.4908536585365857</v>
      </c>
      <c r="AA45" s="38"/>
      <c r="AB45" s="61">
        <v>4931</v>
      </c>
      <c r="AC45" s="39">
        <v>4.1979314540661123</v>
      </c>
      <c r="AD45" s="38"/>
      <c r="AE45" s="38">
        <v>5355</v>
      </c>
      <c r="AF45" s="39">
        <f t="shared" si="0"/>
        <v>37.071651090342677</v>
      </c>
      <c r="AG45" s="39"/>
      <c r="AH45" s="39">
        <v>7.8244631185807654</v>
      </c>
      <c r="AI45" s="39">
        <v>46.573295985060689</v>
      </c>
      <c r="AJ45" s="39">
        <v>23.510737628384685</v>
      </c>
      <c r="AK45" s="39">
        <v>19.271708683473392</v>
      </c>
      <c r="AL45" s="39"/>
      <c r="AM45" s="39">
        <v>126.46646821922606</v>
      </c>
    </row>
    <row r="46" spans="1:39" s="98" customFormat="1" ht="10.15" customHeight="1">
      <c r="A46" s="116" t="s">
        <v>250</v>
      </c>
      <c r="B46" s="38">
        <v>12443</v>
      </c>
      <c r="C46" s="39">
        <v>5.1193442095957566</v>
      </c>
      <c r="D46" s="39"/>
      <c r="E46" s="38">
        <v>4763</v>
      </c>
      <c r="F46" s="39">
        <v>4.7449086710056685</v>
      </c>
      <c r="G46" s="39"/>
      <c r="H46" s="38">
        <v>4472</v>
      </c>
      <c r="I46" s="39">
        <v>4.9194991055456176</v>
      </c>
      <c r="J46" s="39"/>
      <c r="K46" s="38">
        <v>4321</v>
      </c>
      <c r="L46" s="39">
        <v>34.726352165876392</v>
      </c>
      <c r="M46" s="39"/>
      <c r="N46" s="39">
        <v>6.7114093959731544</v>
      </c>
      <c r="O46" s="39">
        <v>41.865308956260129</v>
      </c>
      <c r="P46" s="39">
        <v>11.756537838463318</v>
      </c>
      <c r="Q46" s="39">
        <v>15.690812311964821</v>
      </c>
      <c r="R46" s="39"/>
      <c r="S46" s="39">
        <v>117.1</v>
      </c>
      <c r="U46" s="116" t="s">
        <v>249</v>
      </c>
      <c r="V46" s="61">
        <v>7294</v>
      </c>
      <c r="W46" s="39">
        <v>4.3734576364134909</v>
      </c>
      <c r="X46" s="38"/>
      <c r="Y46" s="38">
        <f>+SUM(Y27,Y30:Y32)</f>
        <v>3576</v>
      </c>
      <c r="Z46" s="39">
        <v>3.4395973154362416</v>
      </c>
      <c r="AA46" s="38"/>
      <c r="AB46" s="61">
        <v>2637</v>
      </c>
      <c r="AC46" s="39">
        <v>4.0955631399317403</v>
      </c>
      <c r="AD46" s="38"/>
      <c r="AE46" s="38">
        <v>2625</v>
      </c>
      <c r="AF46" s="39">
        <f t="shared" si="0"/>
        <v>35.988483685220729</v>
      </c>
      <c r="AG46" s="39"/>
      <c r="AH46" s="39">
        <v>7.0095238095238095</v>
      </c>
      <c r="AI46" s="39">
        <v>54.590476190476188</v>
      </c>
      <c r="AJ46" s="39">
        <v>27.161904761904758</v>
      </c>
      <c r="AK46" s="39">
        <v>16.114285714285714</v>
      </c>
      <c r="AL46" s="39"/>
      <c r="AM46" s="39">
        <v>123.3970563356454</v>
      </c>
    </row>
    <row r="47" spans="1:39" s="98" customFormat="1" ht="10.15" customHeight="1">
      <c r="A47" s="116" t="s">
        <v>251</v>
      </c>
      <c r="B47" s="38">
        <v>17721</v>
      </c>
      <c r="C47" s="39">
        <v>4.0686191524180346</v>
      </c>
      <c r="D47" s="39"/>
      <c r="E47" s="38">
        <v>2560</v>
      </c>
      <c r="F47" s="39">
        <v>3.3984374999999996</v>
      </c>
      <c r="G47" s="39"/>
      <c r="H47" s="38">
        <v>4155</v>
      </c>
      <c r="I47" s="39">
        <v>3.104693140794224</v>
      </c>
      <c r="J47" s="39"/>
      <c r="K47" s="38">
        <v>5538</v>
      </c>
      <c r="L47" s="39">
        <v>31.251058066700526</v>
      </c>
      <c r="M47" s="39"/>
      <c r="N47" s="39">
        <v>4.8754062838569885</v>
      </c>
      <c r="O47" s="39">
        <v>16.21524015890213</v>
      </c>
      <c r="P47" s="39">
        <v>8.2520765619357164</v>
      </c>
      <c r="Q47" s="39">
        <v>10.870350306970025</v>
      </c>
      <c r="R47" s="39"/>
      <c r="S47" s="39">
        <v>123.9</v>
      </c>
      <c r="U47" s="116" t="s">
        <v>250</v>
      </c>
      <c r="V47" s="61">
        <v>12034</v>
      </c>
      <c r="W47" s="39">
        <v>4.9858733588166855</v>
      </c>
      <c r="X47" s="38"/>
      <c r="Y47" s="38">
        <f>+SUM(Y33:Y36)</f>
        <v>4589</v>
      </c>
      <c r="Z47" s="39">
        <v>4.8376552625844411</v>
      </c>
      <c r="AA47" s="38"/>
      <c r="AB47" s="61">
        <v>4349</v>
      </c>
      <c r="AC47" s="39">
        <v>3.2651184180271327</v>
      </c>
      <c r="AD47" s="38"/>
      <c r="AE47" s="38">
        <v>4179</v>
      </c>
      <c r="AF47" s="39">
        <f t="shared" si="0"/>
        <v>34.726607944158218</v>
      </c>
      <c r="AG47" s="39"/>
      <c r="AH47" s="39">
        <v>5.8387173965063415</v>
      </c>
      <c r="AI47" s="39">
        <v>43.168222062694426</v>
      </c>
      <c r="AJ47" s="39">
        <v>11.079205551567361</v>
      </c>
      <c r="AK47" s="39">
        <v>15.601818616893995</v>
      </c>
      <c r="AL47" s="39"/>
      <c r="AM47" s="39">
        <v>113.2292058712834</v>
      </c>
    </row>
    <row r="48" spans="1:39" s="98" customFormat="1" ht="10.15" customHeight="1">
      <c r="A48" s="116" t="s">
        <v>252</v>
      </c>
      <c r="B48" s="38">
        <v>9225</v>
      </c>
      <c r="C48" s="39">
        <v>3.2737127371273713</v>
      </c>
      <c r="D48" s="39"/>
      <c r="E48" s="38">
        <v>1614</v>
      </c>
      <c r="F48" s="39">
        <v>3.7794299876084265</v>
      </c>
      <c r="G48" s="39"/>
      <c r="H48" s="38">
        <v>2186</v>
      </c>
      <c r="I48" s="39">
        <v>2.1043000914913081</v>
      </c>
      <c r="J48" s="39"/>
      <c r="K48" s="38">
        <v>3080</v>
      </c>
      <c r="L48" s="39">
        <v>33.387533875338754</v>
      </c>
      <c r="M48" s="39"/>
      <c r="N48" s="39">
        <v>3.3766233766233764</v>
      </c>
      <c r="O48" s="39">
        <v>22.467532467532468</v>
      </c>
      <c r="P48" s="39">
        <v>5.7467532467532463</v>
      </c>
      <c r="Q48" s="39">
        <v>10.974025974025974</v>
      </c>
      <c r="R48" s="39"/>
      <c r="S48" s="39">
        <v>101.9</v>
      </c>
      <c r="U48" s="116" t="s">
        <v>251</v>
      </c>
      <c r="V48" s="61">
        <v>17542</v>
      </c>
      <c r="W48" s="39">
        <v>4.0360278189488081</v>
      </c>
      <c r="X48" s="38"/>
      <c r="Y48" s="38">
        <f>+SUM(Y37:Y42)</f>
        <v>2628</v>
      </c>
      <c r="Z48" s="39">
        <v>2.968036529680365</v>
      </c>
      <c r="AA48" s="38"/>
      <c r="AB48" s="61">
        <v>3821</v>
      </c>
      <c r="AC48" s="39">
        <v>2.2245485475006541</v>
      </c>
      <c r="AD48" s="38"/>
      <c r="AE48" s="38">
        <v>5354</v>
      </c>
      <c r="AF48" s="39">
        <f t="shared" si="0"/>
        <v>30.521035229734352</v>
      </c>
      <c r="AG48" s="39"/>
      <c r="AH48" s="39">
        <v>5.7713858797161004</v>
      </c>
      <c r="AI48" s="39">
        <v>17.108703772880091</v>
      </c>
      <c r="AJ48" s="39">
        <v>7.6578259245423981</v>
      </c>
      <c r="AK48" s="39">
        <v>9.5629435935748983</v>
      </c>
      <c r="AL48" s="39"/>
      <c r="AM48" s="39">
        <v>124.18235877106045</v>
      </c>
    </row>
    <row r="49" spans="1:40" s="99" customFormat="1" ht="9.75" customHeight="1">
      <c r="A49" s="117" t="s">
        <v>253</v>
      </c>
      <c r="B49" s="38">
        <v>61861</v>
      </c>
      <c r="C49" s="39">
        <v>4.3613908601542173</v>
      </c>
      <c r="D49" s="39"/>
      <c r="E49" s="38">
        <v>19694</v>
      </c>
      <c r="F49" s="39">
        <v>3.8590433634609527</v>
      </c>
      <c r="G49" s="39"/>
      <c r="H49" s="38">
        <v>19755</v>
      </c>
      <c r="I49" s="39">
        <v>3.7155150594786126</v>
      </c>
      <c r="J49" s="39"/>
      <c r="K49" s="38">
        <v>21235</v>
      </c>
      <c r="L49" s="39">
        <v>34.32695882704774</v>
      </c>
      <c r="M49" s="39"/>
      <c r="N49" s="39">
        <v>5.8865081233812102</v>
      </c>
      <c r="O49" s="39">
        <v>35.789969390157758</v>
      </c>
      <c r="P49" s="39">
        <v>14.93760301389216</v>
      </c>
      <c r="Q49" s="39">
        <v>14.509065222510007</v>
      </c>
      <c r="R49" s="39"/>
      <c r="S49" s="39">
        <v>120.5</v>
      </c>
      <c r="U49" s="116" t="s">
        <v>252</v>
      </c>
      <c r="V49" s="61">
        <v>8851</v>
      </c>
      <c r="W49" s="39">
        <v>2.9262230256468196</v>
      </c>
      <c r="X49" s="38"/>
      <c r="Y49" s="38">
        <f>+SUM(Y43:Y44)</f>
        <v>1541</v>
      </c>
      <c r="Z49" s="39">
        <v>3.1797534068786502</v>
      </c>
      <c r="AA49" s="38"/>
      <c r="AB49" s="61">
        <v>1667</v>
      </c>
      <c r="AC49" s="39">
        <v>3.1193761247750449</v>
      </c>
      <c r="AD49" s="38"/>
      <c r="AE49" s="38">
        <v>2558</v>
      </c>
      <c r="AF49" s="39">
        <f t="shared" si="0"/>
        <v>28.900689187662408</v>
      </c>
      <c r="AG49" s="39"/>
      <c r="AH49" s="39">
        <v>2.9319781078967941</v>
      </c>
      <c r="AI49" s="39">
        <v>23.924941360437842</v>
      </c>
      <c r="AJ49" s="39">
        <v>7.1931196247068021</v>
      </c>
      <c r="AK49" s="39">
        <v>13.565285379202502</v>
      </c>
      <c r="AL49" s="39"/>
      <c r="AM49" s="39">
        <v>97.349318081830177</v>
      </c>
    </row>
    <row r="50" spans="1:40" ht="9" customHeight="1">
      <c r="A50" s="100"/>
      <c r="B50" s="101"/>
      <c r="C50" s="102"/>
      <c r="D50" s="102"/>
      <c r="E50" s="102"/>
      <c r="F50" s="102"/>
      <c r="G50" s="102"/>
      <c r="H50" s="100"/>
      <c r="I50" s="102"/>
      <c r="J50" s="102"/>
      <c r="K50" s="102"/>
      <c r="L50" s="102"/>
      <c r="M50" s="102"/>
      <c r="N50" s="102"/>
      <c r="O50" s="102"/>
      <c r="P50" s="102"/>
      <c r="Q50" s="100"/>
      <c r="R50" s="100"/>
      <c r="S50" s="102"/>
      <c r="U50" s="117" t="s">
        <v>253</v>
      </c>
      <c r="V50" s="61">
        <v>60166</v>
      </c>
      <c r="W50" s="39">
        <v>4.2233154938004853</v>
      </c>
      <c r="X50" s="38"/>
      <c r="Y50" s="38">
        <f>+SUM(Y45:Y49)</f>
        <v>18894</v>
      </c>
      <c r="Z50" s="39">
        <v>3.7101725415475815</v>
      </c>
      <c r="AA50" s="38"/>
      <c r="AB50" s="61">
        <v>17405</v>
      </c>
      <c r="AC50" s="39">
        <v>3.4128124102269459</v>
      </c>
      <c r="AD50" s="38"/>
      <c r="AE50" s="38">
        <v>20071</v>
      </c>
      <c r="AF50" s="39">
        <f t="shared" si="0"/>
        <v>33.35937240301832</v>
      </c>
      <c r="AG50" s="39"/>
      <c r="AH50" s="39">
        <v>6.1332270439938217</v>
      </c>
      <c r="AI50" s="39">
        <v>36.16660853968412</v>
      </c>
      <c r="AJ50" s="39">
        <v>15.091425439689104</v>
      </c>
      <c r="AK50" s="39">
        <v>14.777539733944497</v>
      </c>
      <c r="AL50" s="39"/>
      <c r="AM50" s="39">
        <v>117.55993669278415</v>
      </c>
    </row>
    <row r="51" spans="1:40" ht="3" customHeight="1">
      <c r="U51" s="100"/>
      <c r="V51" s="101"/>
      <c r="W51" s="102"/>
      <c r="X51" s="102"/>
      <c r="Y51" s="102"/>
      <c r="Z51" s="102"/>
      <c r="AA51" s="102"/>
      <c r="AB51" s="100"/>
      <c r="AC51" s="102"/>
      <c r="AD51" s="102"/>
      <c r="AE51" s="102"/>
      <c r="AF51" s="102"/>
      <c r="AG51" s="102"/>
      <c r="AH51" s="102"/>
      <c r="AI51" s="102"/>
      <c r="AJ51" s="102"/>
      <c r="AK51" s="100"/>
      <c r="AL51" s="100"/>
      <c r="AM51" s="102"/>
    </row>
    <row r="52" spans="1:40" ht="10.15" customHeight="1">
      <c r="A52" s="103" t="s">
        <v>449</v>
      </c>
      <c r="B52" s="104"/>
      <c r="C52" s="104"/>
      <c r="D52" s="104"/>
      <c r="E52" s="104"/>
      <c r="F52" s="104"/>
      <c r="G52" s="104"/>
      <c r="H52" s="104"/>
      <c r="I52" s="104"/>
      <c r="J52" s="104"/>
      <c r="K52" s="104"/>
      <c r="L52" s="104"/>
      <c r="M52" s="104"/>
      <c r="N52" s="104"/>
      <c r="O52" s="104"/>
      <c r="P52" s="104"/>
      <c r="Q52" s="104"/>
      <c r="R52" s="104"/>
      <c r="S52" s="104"/>
      <c r="AN52" s="500"/>
    </row>
    <row r="53" spans="1:40" ht="20.149999999999999" customHeight="1">
      <c r="A53" s="732" t="s">
        <v>450</v>
      </c>
      <c r="B53" s="732"/>
      <c r="C53" s="732"/>
      <c r="D53" s="732"/>
      <c r="E53" s="732"/>
      <c r="F53" s="732"/>
      <c r="G53" s="732"/>
      <c r="H53" s="732"/>
      <c r="I53" s="732"/>
      <c r="J53" s="732"/>
      <c r="K53" s="732"/>
      <c r="L53" s="732"/>
      <c r="M53" s="732"/>
      <c r="N53" s="732"/>
      <c r="O53" s="732"/>
      <c r="P53" s="732"/>
      <c r="Q53" s="732"/>
      <c r="R53" s="732"/>
      <c r="S53" s="732"/>
      <c r="U53" s="103" t="s">
        <v>449</v>
      </c>
      <c r="V53" s="104"/>
      <c r="W53" s="104"/>
      <c r="X53" s="104"/>
      <c r="Y53" s="104"/>
      <c r="Z53" s="104"/>
      <c r="AA53" s="104"/>
      <c r="AB53" s="104"/>
      <c r="AC53" s="104"/>
      <c r="AD53" s="104"/>
      <c r="AE53" s="104"/>
      <c r="AF53" s="104"/>
      <c r="AG53" s="104"/>
      <c r="AH53" s="104"/>
      <c r="AI53" s="104"/>
      <c r="AJ53" s="104"/>
      <c r="AK53" s="104"/>
      <c r="AL53" s="104"/>
      <c r="AM53" s="104"/>
    </row>
    <row r="54" spans="1:40" ht="20.149999999999999" customHeight="1">
      <c r="A54" s="732" t="s">
        <v>451</v>
      </c>
      <c r="B54" s="732"/>
      <c r="C54" s="732"/>
      <c r="D54" s="732"/>
      <c r="E54" s="732"/>
      <c r="F54" s="732"/>
      <c r="G54" s="732"/>
      <c r="H54" s="732"/>
      <c r="I54" s="732"/>
      <c r="J54" s="732"/>
      <c r="K54" s="732"/>
      <c r="L54" s="732"/>
      <c r="M54" s="732"/>
      <c r="N54" s="732"/>
      <c r="O54" s="732"/>
      <c r="P54" s="732"/>
      <c r="Q54" s="732"/>
      <c r="R54" s="732"/>
      <c r="S54" s="732"/>
      <c r="U54" s="732" t="s">
        <v>450</v>
      </c>
      <c r="V54" s="732"/>
      <c r="W54" s="732"/>
      <c r="X54" s="732"/>
      <c r="Y54" s="732"/>
      <c r="Z54" s="732"/>
      <c r="AA54" s="732"/>
      <c r="AB54" s="732"/>
      <c r="AC54" s="732"/>
      <c r="AD54" s="732"/>
      <c r="AE54" s="732"/>
      <c r="AF54" s="732"/>
      <c r="AG54" s="732"/>
      <c r="AH54" s="732"/>
      <c r="AI54" s="732"/>
      <c r="AJ54" s="732"/>
      <c r="AK54" s="732"/>
      <c r="AL54" s="732"/>
      <c r="AM54" s="732"/>
    </row>
    <row r="55" spans="1:40" ht="10.15" customHeight="1">
      <c r="A55" s="12" t="s">
        <v>452</v>
      </c>
      <c r="B55" s="104"/>
      <c r="C55" s="104"/>
      <c r="D55" s="104"/>
      <c r="E55" s="104"/>
      <c r="F55" s="104"/>
      <c r="G55" s="104"/>
      <c r="H55" s="105"/>
      <c r="I55" s="104"/>
      <c r="J55" s="104"/>
      <c r="K55" s="104"/>
      <c r="L55" s="104"/>
      <c r="M55" s="104"/>
      <c r="N55" s="104"/>
      <c r="O55" s="104"/>
      <c r="P55" s="104"/>
      <c r="Q55" s="104"/>
      <c r="R55" s="104"/>
      <c r="S55" s="104"/>
      <c r="U55" s="732" t="s">
        <v>451</v>
      </c>
      <c r="V55" s="732"/>
      <c r="W55" s="732"/>
      <c r="X55" s="732"/>
      <c r="Y55" s="732"/>
      <c r="Z55" s="732"/>
      <c r="AA55" s="732"/>
      <c r="AB55" s="732"/>
      <c r="AC55" s="732"/>
      <c r="AD55" s="732"/>
      <c r="AE55" s="732"/>
      <c r="AF55" s="732"/>
      <c r="AG55" s="732"/>
      <c r="AH55" s="732"/>
      <c r="AI55" s="732"/>
      <c r="AJ55" s="732"/>
      <c r="AK55" s="732"/>
      <c r="AL55" s="732"/>
      <c r="AM55" s="732"/>
    </row>
    <row r="56" spans="1:40">
      <c r="B56" s="12"/>
      <c r="U56" s="12" t="s">
        <v>452</v>
      </c>
      <c r="V56" s="104"/>
      <c r="W56" s="104"/>
      <c r="X56" s="104"/>
      <c r="Y56" s="104"/>
      <c r="Z56" s="104"/>
      <c r="AA56" s="104"/>
      <c r="AB56" s="105"/>
      <c r="AC56" s="104"/>
      <c r="AD56" s="104"/>
      <c r="AE56" s="104"/>
      <c r="AF56" s="104"/>
      <c r="AG56" s="104"/>
      <c r="AH56" s="104"/>
      <c r="AI56" s="104"/>
      <c r="AJ56" s="104"/>
      <c r="AK56" s="104"/>
      <c r="AL56" s="104"/>
      <c r="AM56" s="104"/>
    </row>
    <row r="57" spans="1:40">
      <c r="A57" s="103"/>
    </row>
  </sheetData>
  <mergeCells count="50">
    <mergeCell ref="B20:S20"/>
    <mergeCell ref="V21:AM21"/>
    <mergeCell ref="A53:S53"/>
    <mergeCell ref="A54:S54"/>
    <mergeCell ref="U54:AM54"/>
    <mergeCell ref="U55:AM55"/>
    <mergeCell ref="AE11:AF11"/>
    <mergeCell ref="AH11:AK11"/>
    <mergeCell ref="AE12:AE14"/>
    <mergeCell ref="AF12:AF14"/>
    <mergeCell ref="AH12:AH14"/>
    <mergeCell ref="AI12:AI14"/>
    <mergeCell ref="AJ12:AJ14"/>
    <mergeCell ref="AK12:AK14"/>
    <mergeCell ref="AM9:AM14"/>
    <mergeCell ref="K11:K13"/>
    <mergeCell ref="L11:L13"/>
    <mergeCell ref="N11:N13"/>
    <mergeCell ref="O11:O13"/>
    <mergeCell ref="P11:P13"/>
    <mergeCell ref="Q11:Q13"/>
    <mergeCell ref="N10:Q10"/>
    <mergeCell ref="V10:V14"/>
    <mergeCell ref="W10:W14"/>
    <mergeCell ref="Y10:Z10"/>
    <mergeCell ref="U9:U14"/>
    <mergeCell ref="V9:W9"/>
    <mergeCell ref="Y9:AK9"/>
    <mergeCell ref="AB10:AC10"/>
    <mergeCell ref="AE10:AK10"/>
    <mergeCell ref="Y11:Y14"/>
    <mergeCell ref="Z11:Z14"/>
    <mergeCell ref="AB11:AB14"/>
    <mergeCell ref="AC11:AC14"/>
    <mergeCell ref="A5:S5"/>
    <mergeCell ref="U6:AM6"/>
    <mergeCell ref="A8:A13"/>
    <mergeCell ref="B8:C8"/>
    <mergeCell ref="E8:Q8"/>
    <mergeCell ref="S8:S13"/>
    <mergeCell ref="B9:B13"/>
    <mergeCell ref="C9:C13"/>
    <mergeCell ref="E9:F9"/>
    <mergeCell ref="H9:I9"/>
    <mergeCell ref="E10:E13"/>
    <mergeCell ref="F10:F13"/>
    <mergeCell ref="H10:H13"/>
    <mergeCell ref="I10:I13"/>
    <mergeCell ref="K10:L10"/>
    <mergeCell ref="K9:Q9"/>
  </mergeCells>
  <pageMargins left="0.59055118110236227" right="0.59055118110236227" top="0.78740157480314965" bottom="0.78740157480314965" header="0" footer="0"/>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58"/>
  <sheetViews>
    <sheetView zoomScaleNormal="100" workbookViewId="0">
      <selection activeCell="A4" sqref="A4"/>
    </sheetView>
  </sheetViews>
  <sheetFormatPr defaultColWidth="9.26953125" defaultRowHeight="9"/>
  <cols>
    <col min="1" max="1" width="25.26953125" style="13" customWidth="1"/>
    <col min="2" max="2" width="6.1796875" style="13" customWidth="1"/>
    <col min="3" max="3" width="5.54296875" style="13" customWidth="1"/>
    <col min="4" max="4" width="0.7265625" style="13" customWidth="1"/>
    <col min="5" max="5" width="6.453125" style="13" customWidth="1"/>
    <col min="6" max="6" width="4.453125" style="13" customWidth="1"/>
    <col min="7" max="7" width="0.7265625" style="13" customWidth="1"/>
    <col min="8" max="8" width="7.81640625" style="13" customWidth="1"/>
    <col min="9" max="9" width="4.26953125" style="13" customWidth="1"/>
    <col min="10" max="10" width="0.7265625" style="13" customWidth="1"/>
    <col min="11" max="11" width="5.7265625" style="13" customWidth="1"/>
    <col min="12" max="12" width="4.453125" style="13" customWidth="1"/>
    <col min="13" max="13" width="0.7265625" style="13" customWidth="1"/>
    <col min="14" max="14" width="9.453125" style="13" customWidth="1"/>
    <col min="15" max="15" width="5.453125" style="13" customWidth="1"/>
    <col min="16" max="16" width="0.7265625" style="13" customWidth="1"/>
    <col min="17" max="17" width="5.7265625" style="13" customWidth="1"/>
    <col min="18" max="18" width="4" style="13" customWidth="1"/>
    <col min="19" max="16384" width="9.26953125" style="13"/>
  </cols>
  <sheetData>
    <row r="1" spans="1:18" s="41" customFormat="1" ht="12.75" customHeight="1"/>
    <row r="2" spans="1:18" s="41" customFormat="1" ht="12.75" customHeight="1"/>
    <row r="3" spans="1:18" s="41" customFormat="1" ht="12.75" customHeight="1">
      <c r="A3" s="42"/>
    </row>
    <row r="4" spans="1:18" s="44" customFormat="1" ht="12" customHeight="1">
      <c r="A4" s="43" t="s">
        <v>37</v>
      </c>
      <c r="B4" s="43"/>
      <c r="C4" s="43"/>
      <c r="D4" s="43"/>
      <c r="E4" s="43"/>
      <c r="F4" s="43"/>
      <c r="G4" s="43"/>
      <c r="H4" s="43"/>
      <c r="I4" s="43"/>
      <c r="J4" s="43"/>
      <c r="K4" s="43"/>
      <c r="L4" s="43"/>
      <c r="M4" s="43"/>
      <c r="P4" s="43"/>
    </row>
    <row r="5" spans="1:18" s="44" customFormat="1" ht="24" customHeight="1">
      <c r="A5" s="739" t="s">
        <v>38</v>
      </c>
      <c r="B5" s="740"/>
      <c r="C5" s="740"/>
      <c r="D5" s="740"/>
      <c r="E5" s="740"/>
      <c r="F5" s="740"/>
      <c r="G5" s="740"/>
      <c r="H5" s="740"/>
      <c r="I5" s="740"/>
      <c r="J5" s="740"/>
      <c r="K5" s="740"/>
      <c r="L5" s="740"/>
      <c r="M5" s="740"/>
      <c r="N5" s="740"/>
      <c r="O5" s="740"/>
      <c r="P5" s="740"/>
      <c r="Q5" s="740"/>
      <c r="R5" s="740"/>
    </row>
    <row r="6" spans="1:18" s="44" customFormat="1" ht="12" customHeight="1">
      <c r="A6" s="47" t="s">
        <v>11</v>
      </c>
    </row>
    <row r="7" spans="1:18" s="41" customFormat="1" ht="6" customHeight="1">
      <c r="A7" s="45"/>
      <c r="B7" s="46"/>
      <c r="C7" s="46"/>
      <c r="D7" s="46"/>
      <c r="E7" s="46"/>
      <c r="F7" s="46"/>
      <c r="G7" s="46"/>
      <c r="H7" s="46"/>
      <c r="I7" s="46"/>
      <c r="J7" s="46"/>
      <c r="K7" s="46"/>
      <c r="L7" s="46"/>
      <c r="M7" s="46"/>
      <c r="N7" s="46"/>
      <c r="O7" s="46"/>
      <c r="P7" s="46"/>
      <c r="Q7" s="46"/>
      <c r="R7" s="46"/>
    </row>
    <row r="8" spans="1:18" ht="12" customHeight="1">
      <c r="A8" s="741" t="s">
        <v>453</v>
      </c>
      <c r="B8" s="736" t="s">
        <v>454</v>
      </c>
      <c r="C8" s="736"/>
      <c r="D8" s="736"/>
      <c r="E8" s="736"/>
      <c r="F8" s="736"/>
      <c r="G8" s="590"/>
      <c r="H8" s="736" t="s">
        <v>434</v>
      </c>
      <c r="I8" s="736"/>
      <c r="J8" s="736"/>
      <c r="K8" s="736"/>
      <c r="L8" s="736"/>
      <c r="M8" s="590"/>
      <c r="N8" s="736" t="s">
        <v>58</v>
      </c>
      <c r="O8" s="736"/>
      <c r="P8" s="736"/>
      <c r="Q8" s="736"/>
      <c r="R8" s="736"/>
    </row>
    <row r="9" spans="1:18" ht="12" customHeight="1">
      <c r="A9" s="742"/>
      <c r="B9" s="737" t="s">
        <v>124</v>
      </c>
      <c r="C9" s="737" t="s">
        <v>363</v>
      </c>
      <c r="D9" s="591"/>
      <c r="E9" s="736" t="s">
        <v>455</v>
      </c>
      <c r="F9" s="736"/>
      <c r="G9" s="14"/>
      <c r="H9" s="737" t="s">
        <v>124</v>
      </c>
      <c r="I9" s="737" t="s">
        <v>363</v>
      </c>
      <c r="J9" s="14"/>
      <c r="K9" s="736" t="s">
        <v>455</v>
      </c>
      <c r="L9" s="736"/>
      <c r="M9" s="14"/>
      <c r="N9" s="737" t="s">
        <v>124</v>
      </c>
      <c r="O9" s="737" t="s">
        <v>363</v>
      </c>
      <c r="P9" s="14"/>
      <c r="Q9" s="736" t="s">
        <v>455</v>
      </c>
      <c r="R9" s="736"/>
    </row>
    <row r="10" spans="1:18" ht="12" customHeight="1">
      <c r="A10" s="743"/>
      <c r="B10" s="738"/>
      <c r="C10" s="738"/>
      <c r="D10" s="271"/>
      <c r="E10" s="271" t="s">
        <v>58</v>
      </c>
      <c r="F10" s="271" t="s">
        <v>363</v>
      </c>
      <c r="G10" s="15"/>
      <c r="H10" s="738"/>
      <c r="I10" s="738"/>
      <c r="J10" s="15"/>
      <c r="K10" s="271" t="s">
        <v>58</v>
      </c>
      <c r="L10" s="271" t="s">
        <v>363</v>
      </c>
      <c r="M10" s="15"/>
      <c r="N10" s="738"/>
      <c r="O10" s="738"/>
      <c r="P10" s="15"/>
      <c r="Q10" s="271" t="s">
        <v>58</v>
      </c>
      <c r="R10" s="271" t="s">
        <v>363</v>
      </c>
    </row>
    <row r="11" spans="1:18" ht="3" customHeight="1">
      <c r="A11" s="16"/>
      <c r="B11" s="17"/>
      <c r="C11" s="17"/>
      <c r="D11" s="17"/>
      <c r="E11" s="17"/>
      <c r="F11" s="17"/>
      <c r="G11" s="17"/>
      <c r="H11" s="17"/>
      <c r="I11" s="17"/>
      <c r="J11" s="17"/>
      <c r="K11" s="17"/>
      <c r="L11" s="17"/>
      <c r="M11" s="17"/>
      <c r="N11" s="17"/>
      <c r="O11" s="17"/>
      <c r="P11" s="17"/>
      <c r="Q11" s="17"/>
      <c r="R11" s="17"/>
    </row>
    <row r="12" spans="1:18" s="8" customFormat="1" ht="10.15" customHeight="1">
      <c r="A12" s="106">
        <v>2020</v>
      </c>
      <c r="B12" s="107">
        <v>36020</v>
      </c>
      <c r="C12" s="1">
        <v>67.498688254253807</v>
      </c>
      <c r="D12" s="1"/>
      <c r="E12" s="107">
        <v>1493</v>
      </c>
      <c r="F12" s="1">
        <v>4.1449194891726817</v>
      </c>
      <c r="G12" s="107"/>
      <c r="H12" s="107">
        <v>17344</v>
      </c>
      <c r="I12" s="1">
        <v>32.5013117457462</v>
      </c>
      <c r="J12" s="107"/>
      <c r="K12" s="107">
        <v>762</v>
      </c>
      <c r="L12" s="1">
        <v>4.3934501845018454</v>
      </c>
      <c r="M12" s="107"/>
      <c r="N12" s="107">
        <v>53364</v>
      </c>
      <c r="O12" s="1">
        <v>100</v>
      </c>
      <c r="P12" s="107"/>
      <c r="Q12" s="107">
        <v>2255</v>
      </c>
      <c r="R12" s="1">
        <v>4.2256952252454836</v>
      </c>
    </row>
    <row r="13" spans="1:18" s="8" customFormat="1" ht="10.15" customHeight="1">
      <c r="A13" s="106">
        <v>2021</v>
      </c>
      <c r="B13" s="107">
        <v>37091</v>
      </c>
      <c r="C13" s="1">
        <v>68.517013337274165</v>
      </c>
      <c r="D13" s="1"/>
      <c r="E13" s="107">
        <v>1515</v>
      </c>
      <c r="F13" s="1">
        <v>4.0845488123803619</v>
      </c>
      <c r="G13" s="107"/>
      <c r="H13" s="107">
        <v>17043</v>
      </c>
      <c r="I13" s="1">
        <v>31.482986662725825</v>
      </c>
      <c r="J13" s="107"/>
      <c r="K13" s="107">
        <v>722</v>
      </c>
      <c r="L13" s="1">
        <v>4.2363433667781498</v>
      </c>
      <c r="M13" s="107"/>
      <c r="N13" s="107">
        <v>54134</v>
      </c>
      <c r="O13" s="1">
        <v>100</v>
      </c>
      <c r="P13" s="107"/>
      <c r="Q13" s="107">
        <v>2237</v>
      </c>
      <c r="R13" s="1">
        <v>4.1323382716961614</v>
      </c>
    </row>
    <row r="14" spans="1:18" s="8" customFormat="1" ht="10.15" customHeight="1">
      <c r="A14" s="106">
        <v>2022</v>
      </c>
      <c r="B14" s="107">
        <v>38513</v>
      </c>
      <c r="C14" s="1">
        <v>68.533347569222016</v>
      </c>
      <c r="D14" s="1"/>
      <c r="E14" s="107">
        <v>1643</v>
      </c>
      <c r="F14" s="1">
        <v>4.2660919689455508</v>
      </c>
      <c r="G14" s="107"/>
      <c r="H14" s="107">
        <v>17683</v>
      </c>
      <c r="I14" s="1">
        <v>31.466652430777991</v>
      </c>
      <c r="J14" s="107"/>
      <c r="K14" s="107">
        <v>722</v>
      </c>
      <c r="L14" s="1">
        <v>4.0830175875134307</v>
      </c>
      <c r="M14" s="107"/>
      <c r="N14" s="107">
        <v>56196</v>
      </c>
      <c r="O14" s="1">
        <v>100</v>
      </c>
      <c r="P14" s="107"/>
      <c r="Q14" s="107">
        <v>2365</v>
      </c>
      <c r="R14" s="1">
        <v>4.2084845896505092</v>
      </c>
    </row>
    <row r="15" spans="1:18" s="8" customFormat="1" ht="10.15" customHeight="1">
      <c r="A15" s="106" t="s">
        <v>446</v>
      </c>
      <c r="B15" s="3">
        <v>41272</v>
      </c>
      <c r="C15" s="1">
        <v>68.596881959910917</v>
      </c>
      <c r="D15" s="107"/>
      <c r="E15" s="3">
        <v>1840</v>
      </c>
      <c r="F15" s="107">
        <v>4.4582283388253536</v>
      </c>
      <c r="G15" s="107"/>
      <c r="H15" s="3">
        <v>18894</v>
      </c>
      <c r="I15" s="107">
        <v>31.403118040089083</v>
      </c>
      <c r="J15" s="107"/>
      <c r="K15" s="1">
        <v>701</v>
      </c>
      <c r="L15" s="107">
        <v>3.7101725415475815</v>
      </c>
      <c r="M15" s="107"/>
      <c r="N15" s="3">
        <v>60166</v>
      </c>
      <c r="O15" s="478">
        <v>100</v>
      </c>
      <c r="P15" s="107"/>
      <c r="Q15" s="3">
        <v>2541</v>
      </c>
      <c r="R15" s="107">
        <v>4.2233154938004853</v>
      </c>
    </row>
    <row r="16" spans="1:18" s="8" customFormat="1" ht="3" customHeight="1"/>
    <row r="17" spans="1:18" s="8" customFormat="1" ht="10.15" customHeight="1">
      <c r="A17" s="18"/>
      <c r="B17" s="733" t="s">
        <v>107</v>
      </c>
      <c r="C17" s="733"/>
      <c r="D17" s="733"/>
      <c r="E17" s="733"/>
      <c r="F17" s="733"/>
      <c r="G17" s="733"/>
      <c r="H17" s="733"/>
      <c r="I17" s="733"/>
      <c r="J17" s="733"/>
      <c r="K17" s="733"/>
      <c r="L17" s="733"/>
      <c r="M17" s="733"/>
      <c r="N17" s="733"/>
      <c r="O17" s="733"/>
      <c r="P17" s="733"/>
      <c r="Q17" s="733"/>
      <c r="R17" s="733"/>
    </row>
    <row r="18" spans="1:18" s="8" customFormat="1" ht="3" customHeight="1"/>
    <row r="19" spans="1:18" s="8" customFormat="1" ht="10.15" customHeight="1">
      <c r="A19" s="18"/>
      <c r="B19" s="733" t="s">
        <v>456</v>
      </c>
      <c r="C19" s="733"/>
      <c r="D19" s="733"/>
      <c r="E19" s="733"/>
      <c r="F19" s="733"/>
      <c r="G19" s="733"/>
      <c r="H19" s="733"/>
      <c r="I19" s="733"/>
      <c r="J19" s="733"/>
      <c r="K19" s="733"/>
      <c r="L19" s="733"/>
      <c r="M19" s="733"/>
      <c r="N19" s="733"/>
      <c r="O19" s="733"/>
      <c r="P19" s="733"/>
      <c r="Q19" s="733"/>
      <c r="R19" s="733"/>
    </row>
    <row r="20" spans="1:18" s="8" customFormat="1" ht="3" customHeight="1"/>
    <row r="21" spans="1:18" s="97" customFormat="1" ht="10.15" customHeight="1">
      <c r="A21" s="11" t="s">
        <v>457</v>
      </c>
      <c r="B21" s="3">
        <v>18688</v>
      </c>
      <c r="C21" s="1">
        <v>68.249214812650649</v>
      </c>
      <c r="D21" s="1"/>
      <c r="E21" s="3">
        <v>658</v>
      </c>
      <c r="F21" s="1">
        <v>3.5209760273972601</v>
      </c>
      <c r="G21" s="3"/>
      <c r="H21" s="3">
        <v>8694</v>
      </c>
      <c r="I21" s="1">
        <v>31.750785187349358</v>
      </c>
      <c r="J21" s="3"/>
      <c r="K21" s="3">
        <v>300</v>
      </c>
      <c r="L21" s="1">
        <v>3.4506556245686681</v>
      </c>
      <c r="M21" s="3"/>
      <c r="N21" s="3">
        <v>27382</v>
      </c>
      <c r="O21" s="1">
        <v>100</v>
      </c>
      <c r="P21" s="3"/>
      <c r="Q21" s="3">
        <v>958</v>
      </c>
      <c r="R21" s="1">
        <v>3.4986487473522754</v>
      </c>
    </row>
    <row r="22" spans="1:18" s="97" customFormat="1" ht="10.15" customHeight="1">
      <c r="A22" s="11" t="s">
        <v>458</v>
      </c>
      <c r="B22" s="3">
        <v>5015</v>
      </c>
      <c r="C22" s="1">
        <v>73.275862068965509</v>
      </c>
      <c r="D22" s="1"/>
      <c r="E22" s="3">
        <v>142</v>
      </c>
      <c r="F22" s="1">
        <v>2.8315054835493521</v>
      </c>
      <c r="G22" s="3"/>
      <c r="H22" s="3">
        <v>1829</v>
      </c>
      <c r="I22" s="1">
        <v>26.72413793103448</v>
      </c>
      <c r="J22" s="3"/>
      <c r="K22" s="3">
        <v>49</v>
      </c>
      <c r="L22" s="1">
        <v>2.6790595954073266</v>
      </c>
      <c r="M22" s="3"/>
      <c r="N22" s="3">
        <v>6844</v>
      </c>
      <c r="O22" s="1">
        <v>100</v>
      </c>
      <c r="P22" s="3"/>
      <c r="Q22" s="3">
        <v>191</v>
      </c>
      <c r="R22" s="1">
        <v>2.7907656341320863</v>
      </c>
    </row>
    <row r="23" spans="1:18" s="97" customFormat="1" ht="20.149999999999999" customHeight="1">
      <c r="A23" s="11" t="s">
        <v>459</v>
      </c>
      <c r="B23" s="3">
        <v>42</v>
      </c>
      <c r="C23" s="1">
        <v>45.652173913043477</v>
      </c>
      <c r="D23" s="1"/>
      <c r="E23" s="3">
        <v>0</v>
      </c>
      <c r="F23" s="1">
        <v>0</v>
      </c>
      <c r="G23" s="3"/>
      <c r="H23" s="3">
        <v>50</v>
      </c>
      <c r="I23" s="1">
        <v>54.347826086956516</v>
      </c>
      <c r="J23" s="3"/>
      <c r="K23" s="3">
        <v>3</v>
      </c>
      <c r="L23" s="1">
        <v>6</v>
      </c>
      <c r="M23" s="3"/>
      <c r="N23" s="3">
        <v>92</v>
      </c>
      <c r="O23" s="1">
        <v>100</v>
      </c>
      <c r="P23" s="3"/>
      <c r="Q23" s="3">
        <v>3</v>
      </c>
      <c r="R23" s="1">
        <v>3.2608695652173911</v>
      </c>
    </row>
    <row r="24" spans="1:18" s="97" customFormat="1" ht="20.149999999999999" customHeight="1">
      <c r="A24" s="11" t="s">
        <v>460</v>
      </c>
      <c r="B24" s="3">
        <v>126</v>
      </c>
      <c r="C24" s="1">
        <v>28.636363636363637</v>
      </c>
      <c r="D24" s="1"/>
      <c r="E24" s="3">
        <v>6</v>
      </c>
      <c r="F24" s="1">
        <v>4.7619047619047619</v>
      </c>
      <c r="G24" s="3"/>
      <c r="H24" s="3">
        <v>314</v>
      </c>
      <c r="I24" s="1">
        <v>71.36363636363636</v>
      </c>
      <c r="J24" s="3"/>
      <c r="K24" s="3">
        <v>62</v>
      </c>
      <c r="L24" s="1">
        <v>19.745222929936308</v>
      </c>
      <c r="M24" s="3"/>
      <c r="N24" s="3">
        <v>440</v>
      </c>
      <c r="O24" s="1">
        <v>100</v>
      </c>
      <c r="P24" s="3"/>
      <c r="Q24" s="3">
        <v>68</v>
      </c>
      <c r="R24" s="1">
        <v>15.454545454545453</v>
      </c>
    </row>
    <row r="25" spans="1:18" s="97" customFormat="1" ht="10.15" customHeight="1">
      <c r="A25" s="11" t="s">
        <v>461</v>
      </c>
      <c r="B25" s="3">
        <v>24946</v>
      </c>
      <c r="C25" s="1">
        <v>70.694590075665261</v>
      </c>
      <c r="D25" s="1"/>
      <c r="E25" s="3">
        <v>1077</v>
      </c>
      <c r="F25" s="1">
        <v>4.3173254229134939</v>
      </c>
      <c r="G25" s="3"/>
      <c r="H25" s="3">
        <v>10341</v>
      </c>
      <c r="I25" s="1">
        <v>29.305409924334739</v>
      </c>
      <c r="J25" s="3"/>
      <c r="K25" s="3">
        <v>419</v>
      </c>
      <c r="L25" s="1">
        <v>4.0518325113625373</v>
      </c>
      <c r="M25" s="3"/>
      <c r="N25" s="3">
        <v>35287</v>
      </c>
      <c r="O25" s="1">
        <v>100</v>
      </c>
      <c r="P25" s="3"/>
      <c r="Q25" s="3">
        <v>1496</v>
      </c>
      <c r="R25" s="1">
        <v>4.2395216368634348</v>
      </c>
    </row>
    <row r="26" spans="1:18" s="97" customFormat="1" ht="10.15" customHeight="1">
      <c r="A26" s="11" t="s">
        <v>462</v>
      </c>
      <c r="B26" s="3">
        <v>926</v>
      </c>
      <c r="C26" s="1">
        <v>96.963350785340324</v>
      </c>
      <c r="D26" s="1"/>
      <c r="E26" s="3">
        <v>26</v>
      </c>
      <c r="F26" s="1">
        <v>2.8077753779697625</v>
      </c>
      <c r="G26" s="3"/>
      <c r="H26" s="3">
        <v>29</v>
      </c>
      <c r="I26" s="1">
        <v>3.0366492146596857</v>
      </c>
      <c r="J26" s="3"/>
      <c r="K26" s="3">
        <v>1</v>
      </c>
      <c r="L26" s="1">
        <v>3.4482758620689653</v>
      </c>
      <c r="M26" s="3"/>
      <c r="N26" s="3">
        <v>955</v>
      </c>
      <c r="O26" s="1">
        <v>100</v>
      </c>
      <c r="P26" s="3"/>
      <c r="Q26" s="3">
        <v>27</v>
      </c>
      <c r="R26" s="1">
        <v>2.8272251308900525</v>
      </c>
    </row>
    <row r="27" spans="1:18" s="97" customFormat="1" ht="10.15" customHeight="1">
      <c r="A27" s="11" t="s">
        <v>463</v>
      </c>
      <c r="B27" s="3">
        <v>1504</v>
      </c>
      <c r="C27" s="1">
        <v>83.695047301057315</v>
      </c>
      <c r="D27" s="1"/>
      <c r="E27" s="3">
        <v>32</v>
      </c>
      <c r="F27" s="1">
        <v>2.1276595744680851</v>
      </c>
      <c r="G27" s="3"/>
      <c r="H27" s="3">
        <v>293</v>
      </c>
      <c r="I27" s="1">
        <v>16.304952698942682</v>
      </c>
      <c r="J27" s="3"/>
      <c r="K27" s="3">
        <v>10</v>
      </c>
      <c r="L27" s="1">
        <v>3.4129692832764507</v>
      </c>
      <c r="M27" s="3"/>
      <c r="N27" s="3">
        <v>1797</v>
      </c>
      <c r="O27" s="1">
        <v>100</v>
      </c>
      <c r="P27" s="3"/>
      <c r="Q27" s="3">
        <v>42</v>
      </c>
      <c r="R27" s="1">
        <v>2.337228714524207</v>
      </c>
    </row>
    <row r="28" spans="1:18" s="97" customFormat="1" ht="20.149999999999999" customHeight="1">
      <c r="A28" s="11" t="s">
        <v>464</v>
      </c>
      <c r="B28" s="3">
        <v>15080</v>
      </c>
      <c r="C28" s="1">
        <v>71.36434622119161</v>
      </c>
      <c r="D28" s="1"/>
      <c r="E28" s="3">
        <v>579</v>
      </c>
      <c r="F28" s="1">
        <v>3.8395225464190981</v>
      </c>
      <c r="G28" s="3"/>
      <c r="H28" s="3">
        <v>6051</v>
      </c>
      <c r="I28" s="1">
        <v>28.635653778808383</v>
      </c>
      <c r="J28" s="3"/>
      <c r="K28" s="3">
        <v>148</v>
      </c>
      <c r="L28" s="1">
        <v>2.4458767145926297</v>
      </c>
      <c r="M28" s="3"/>
      <c r="N28" s="3">
        <v>21131</v>
      </c>
      <c r="O28" s="1">
        <v>100</v>
      </c>
      <c r="P28" s="3"/>
      <c r="Q28" s="3">
        <v>727</v>
      </c>
      <c r="R28" s="1">
        <v>3.4404429511144765</v>
      </c>
    </row>
    <row r="29" spans="1:18" s="97" customFormat="1" ht="10.15" customHeight="1">
      <c r="A29" s="11" t="s">
        <v>465</v>
      </c>
      <c r="B29" s="3">
        <v>3330</v>
      </c>
      <c r="C29" s="1">
        <v>69.563400877376225</v>
      </c>
      <c r="D29" s="1"/>
      <c r="E29" s="3">
        <v>182</v>
      </c>
      <c r="F29" s="1">
        <v>5.4654654654654653</v>
      </c>
      <c r="G29" s="3"/>
      <c r="H29" s="3">
        <v>1457</v>
      </c>
      <c r="I29" s="1">
        <v>30.436599122623775</v>
      </c>
      <c r="J29" s="3"/>
      <c r="K29" s="3">
        <v>56</v>
      </c>
      <c r="L29" s="1">
        <v>3.8435140700068633</v>
      </c>
      <c r="M29" s="3"/>
      <c r="N29" s="3">
        <v>4787</v>
      </c>
      <c r="O29" s="1">
        <v>100</v>
      </c>
      <c r="P29" s="3"/>
      <c r="Q29" s="3">
        <v>238</v>
      </c>
      <c r="R29" s="1">
        <v>4.9717986212659282</v>
      </c>
    </row>
    <row r="30" spans="1:18" s="97" customFormat="1" ht="10.15" customHeight="1">
      <c r="A30" s="11" t="s">
        <v>466</v>
      </c>
      <c r="B30" s="3">
        <v>107</v>
      </c>
      <c r="C30" s="1">
        <v>62.209302325581397</v>
      </c>
      <c r="D30" s="1"/>
      <c r="E30" s="3">
        <v>11</v>
      </c>
      <c r="F30" s="1">
        <v>10.2803738317757</v>
      </c>
      <c r="G30" s="3"/>
      <c r="H30" s="3">
        <v>65</v>
      </c>
      <c r="I30" s="1">
        <v>37.790697674418603</v>
      </c>
      <c r="J30" s="3"/>
      <c r="K30" s="3">
        <v>3</v>
      </c>
      <c r="L30" s="1">
        <v>4.6153846153846159</v>
      </c>
      <c r="M30" s="3"/>
      <c r="N30" s="3">
        <v>172</v>
      </c>
      <c r="O30" s="1">
        <v>100</v>
      </c>
      <c r="P30" s="3"/>
      <c r="Q30" s="3">
        <v>14</v>
      </c>
      <c r="R30" s="1">
        <v>8.1395348837209305</v>
      </c>
    </row>
    <row r="31" spans="1:18" s="97" customFormat="1" ht="10.15" customHeight="1">
      <c r="A31" s="11" t="s">
        <v>467</v>
      </c>
      <c r="B31" s="3">
        <v>7018</v>
      </c>
      <c r="C31" s="1">
        <v>62.58248617799179</v>
      </c>
      <c r="D31" s="1"/>
      <c r="E31" s="3">
        <v>209</v>
      </c>
      <c r="F31" s="1">
        <v>2.9780564263322882</v>
      </c>
      <c r="G31" s="3"/>
      <c r="H31" s="3">
        <v>4196</v>
      </c>
      <c r="I31" s="1">
        <v>37.417513822008203</v>
      </c>
      <c r="J31" s="3"/>
      <c r="K31" s="3">
        <v>80</v>
      </c>
      <c r="L31" s="1">
        <v>1.9065776930409915</v>
      </c>
      <c r="M31" s="3"/>
      <c r="N31" s="3">
        <v>11214</v>
      </c>
      <c r="O31" s="1">
        <v>100</v>
      </c>
      <c r="P31" s="3"/>
      <c r="Q31" s="3">
        <v>289</v>
      </c>
      <c r="R31" s="1">
        <v>2.5771357232031389</v>
      </c>
    </row>
    <row r="32" spans="1:18" s="97" customFormat="1" ht="10.15" customHeight="1">
      <c r="A32" s="11" t="s">
        <v>468</v>
      </c>
      <c r="B32" s="3">
        <v>6424</v>
      </c>
      <c r="C32" s="1">
        <v>81.688708036622586</v>
      </c>
      <c r="D32" s="1"/>
      <c r="E32" s="3">
        <v>283</v>
      </c>
      <c r="F32" s="1">
        <v>4.4053549190535497</v>
      </c>
      <c r="G32" s="3"/>
      <c r="H32" s="3">
        <v>1440</v>
      </c>
      <c r="I32" s="1">
        <v>18.311291963377414</v>
      </c>
      <c r="J32" s="3"/>
      <c r="K32" s="3">
        <v>72</v>
      </c>
      <c r="L32" s="1">
        <v>5</v>
      </c>
      <c r="M32" s="3"/>
      <c r="N32" s="3">
        <v>7864</v>
      </c>
      <c r="O32" s="1">
        <v>100</v>
      </c>
      <c r="P32" s="3"/>
      <c r="Q32" s="3">
        <v>355</v>
      </c>
      <c r="R32" s="1">
        <v>4.5142421159715163</v>
      </c>
    </row>
    <row r="33" spans="1:18" s="97" customFormat="1" ht="10.15" customHeight="1">
      <c r="A33" s="11" t="s">
        <v>469</v>
      </c>
      <c r="B33" s="3">
        <v>859</v>
      </c>
      <c r="C33" s="1">
        <v>89.853556485355639</v>
      </c>
      <c r="D33" s="1"/>
      <c r="E33" s="3">
        <v>36</v>
      </c>
      <c r="F33" s="1">
        <v>4.1909196740395807</v>
      </c>
      <c r="G33" s="3"/>
      <c r="H33" s="3">
        <v>97</v>
      </c>
      <c r="I33" s="1">
        <v>10.146443514644352</v>
      </c>
      <c r="J33" s="3"/>
      <c r="K33" s="3">
        <v>9</v>
      </c>
      <c r="L33" s="1">
        <v>9.2783505154639183</v>
      </c>
      <c r="M33" s="3"/>
      <c r="N33" s="3">
        <v>956</v>
      </c>
      <c r="O33" s="1">
        <v>100</v>
      </c>
      <c r="P33" s="3"/>
      <c r="Q33" s="3">
        <v>45</v>
      </c>
      <c r="R33" s="1">
        <v>4.7071129707112966</v>
      </c>
    </row>
    <row r="34" spans="1:18" s="97" customFormat="1" ht="10.15" customHeight="1">
      <c r="A34" s="11" t="s">
        <v>470</v>
      </c>
      <c r="B34" s="3">
        <v>2207</v>
      </c>
      <c r="C34" s="1">
        <v>81.259204712812959</v>
      </c>
      <c r="D34" s="1"/>
      <c r="E34" s="3">
        <v>55</v>
      </c>
      <c r="F34" s="1">
        <v>2.4920706841866789</v>
      </c>
      <c r="G34" s="3"/>
      <c r="H34" s="3">
        <v>509</v>
      </c>
      <c r="I34" s="1">
        <v>18.740795287187041</v>
      </c>
      <c r="J34" s="3"/>
      <c r="K34" s="3">
        <v>41</v>
      </c>
      <c r="L34" s="1">
        <v>8.0550098231827114</v>
      </c>
      <c r="M34" s="3"/>
      <c r="N34" s="3">
        <v>2716</v>
      </c>
      <c r="O34" s="1">
        <v>100</v>
      </c>
      <c r="P34" s="3"/>
      <c r="Q34" s="3">
        <v>96</v>
      </c>
      <c r="R34" s="1">
        <v>3.5346097201767304</v>
      </c>
    </row>
    <row r="35" spans="1:18" s="97" customFormat="1" ht="10.15" customHeight="1">
      <c r="A35" s="11" t="s">
        <v>471</v>
      </c>
      <c r="B35" s="3">
        <v>9080</v>
      </c>
      <c r="C35" s="1">
        <v>97.602923788025365</v>
      </c>
      <c r="D35" s="1"/>
      <c r="E35" s="3">
        <v>203</v>
      </c>
      <c r="F35" s="1">
        <v>2.2356828193832596</v>
      </c>
      <c r="G35" s="3"/>
      <c r="H35" s="3">
        <v>223</v>
      </c>
      <c r="I35" s="1">
        <v>2.3970762119746318</v>
      </c>
      <c r="J35" s="3"/>
      <c r="K35" s="3">
        <v>6</v>
      </c>
      <c r="L35" s="1">
        <v>2.6905829596412558</v>
      </c>
      <c r="M35" s="3"/>
      <c r="N35" s="3">
        <v>9303</v>
      </c>
      <c r="O35" s="1">
        <v>100</v>
      </c>
      <c r="P35" s="3"/>
      <c r="Q35" s="3">
        <v>209</v>
      </c>
      <c r="R35" s="1">
        <v>2.2465871224336236</v>
      </c>
    </row>
    <row r="36" spans="1:18" s="97" customFormat="1" ht="20.149999999999999" customHeight="1">
      <c r="A36" s="11" t="s">
        <v>472</v>
      </c>
      <c r="B36" s="3">
        <v>8563</v>
      </c>
      <c r="C36" s="1">
        <v>92.653105388444061</v>
      </c>
      <c r="D36" s="1"/>
      <c r="E36" s="3">
        <v>116</v>
      </c>
      <c r="F36" s="1">
        <v>1.3546654209973139</v>
      </c>
      <c r="G36" s="3"/>
      <c r="H36" s="3">
        <v>679</v>
      </c>
      <c r="I36" s="1">
        <v>7.3468946115559399</v>
      </c>
      <c r="J36" s="3"/>
      <c r="K36" s="3">
        <v>10</v>
      </c>
      <c r="L36" s="1">
        <v>1.4727540500736376</v>
      </c>
      <c r="M36" s="3"/>
      <c r="N36" s="3">
        <v>9242</v>
      </c>
      <c r="O36" s="1">
        <v>100</v>
      </c>
      <c r="P36" s="3"/>
      <c r="Q36" s="3">
        <v>126</v>
      </c>
      <c r="R36" s="1">
        <v>1.3633412681237829</v>
      </c>
    </row>
    <row r="37" spans="1:18" s="97" customFormat="1" ht="10.15" customHeight="1">
      <c r="A37" s="11" t="s">
        <v>473</v>
      </c>
      <c r="B37" s="3">
        <v>139</v>
      </c>
      <c r="C37" s="1">
        <v>8.7752525252525242</v>
      </c>
      <c r="D37" s="1"/>
      <c r="E37" s="3">
        <v>12</v>
      </c>
      <c r="F37" s="1">
        <v>8.6330935251798557</v>
      </c>
      <c r="G37" s="3"/>
      <c r="H37" s="3">
        <v>1445</v>
      </c>
      <c r="I37" s="1">
        <v>91.224747474747474</v>
      </c>
      <c r="J37" s="3"/>
      <c r="K37" s="3">
        <v>61</v>
      </c>
      <c r="L37" s="1">
        <v>4.2214532871972317</v>
      </c>
      <c r="M37" s="3"/>
      <c r="N37" s="3">
        <v>1584</v>
      </c>
      <c r="O37" s="1">
        <v>100</v>
      </c>
      <c r="P37" s="3"/>
      <c r="Q37" s="3">
        <v>73</v>
      </c>
      <c r="R37" s="1">
        <v>4.6085858585858581</v>
      </c>
    </row>
    <row r="38" spans="1:18" s="97" customFormat="1" ht="10.15" customHeight="1">
      <c r="A38" s="11" t="s">
        <v>474</v>
      </c>
      <c r="B38" s="3">
        <v>1906</v>
      </c>
      <c r="C38" s="1">
        <v>93.157380254154447</v>
      </c>
      <c r="D38" s="1"/>
      <c r="E38" s="3">
        <v>57</v>
      </c>
      <c r="F38" s="1">
        <v>2.9905561385099686</v>
      </c>
      <c r="G38" s="3"/>
      <c r="H38" s="3">
        <v>140</v>
      </c>
      <c r="I38" s="1">
        <v>6.8426197458455515</v>
      </c>
      <c r="J38" s="3"/>
      <c r="K38" s="3">
        <v>7</v>
      </c>
      <c r="L38" s="1">
        <v>5</v>
      </c>
      <c r="M38" s="3"/>
      <c r="N38" s="3">
        <v>2046</v>
      </c>
      <c r="O38" s="1">
        <v>100</v>
      </c>
      <c r="P38" s="3"/>
      <c r="Q38" s="3">
        <v>64</v>
      </c>
      <c r="R38" s="1">
        <v>3.1280547409579667</v>
      </c>
    </row>
    <row r="39" spans="1:18" s="97" customFormat="1" ht="10.15" customHeight="1">
      <c r="A39" s="11" t="s">
        <v>475</v>
      </c>
      <c r="B39" s="3">
        <v>3471</v>
      </c>
      <c r="C39" s="1">
        <v>81.04132617324305</v>
      </c>
      <c r="D39" s="1"/>
      <c r="E39" s="3">
        <v>92</v>
      </c>
      <c r="F39" s="1">
        <v>2.6505329876116392</v>
      </c>
      <c r="G39" s="3"/>
      <c r="H39" s="3">
        <v>812</v>
      </c>
      <c r="I39" s="1">
        <v>18.958673826756947</v>
      </c>
      <c r="J39" s="3"/>
      <c r="K39" s="3">
        <v>26</v>
      </c>
      <c r="L39" s="1">
        <v>3.201970443349754</v>
      </c>
      <c r="M39" s="3"/>
      <c r="N39" s="3">
        <v>4283</v>
      </c>
      <c r="O39" s="1">
        <v>100</v>
      </c>
      <c r="P39" s="3"/>
      <c r="Q39" s="3">
        <v>118</v>
      </c>
      <c r="R39" s="1">
        <v>2.7550782162035956</v>
      </c>
    </row>
    <row r="40" spans="1:18" s="97" customFormat="1" ht="3" customHeight="1">
      <c r="A40" s="269"/>
      <c r="B40" s="108"/>
      <c r="C40" s="108"/>
      <c r="D40" s="108"/>
      <c r="E40" s="108"/>
      <c r="F40" s="108"/>
      <c r="G40" s="108"/>
      <c r="H40" s="108"/>
      <c r="I40" s="108"/>
      <c r="J40" s="108"/>
      <c r="K40" s="108"/>
      <c r="L40" s="108"/>
      <c r="M40" s="108"/>
      <c r="N40" s="108"/>
      <c r="O40" s="108"/>
      <c r="P40" s="108"/>
      <c r="Q40" s="108"/>
      <c r="R40" s="108"/>
    </row>
    <row r="41" spans="1:18" s="97" customFormat="1" ht="10.15" customHeight="1">
      <c r="A41" s="18"/>
      <c r="B41" s="733" t="s">
        <v>476</v>
      </c>
      <c r="C41" s="733"/>
      <c r="D41" s="733"/>
      <c r="E41" s="733"/>
      <c r="F41" s="733"/>
      <c r="G41" s="733"/>
      <c r="H41" s="733"/>
      <c r="I41" s="733"/>
      <c r="J41" s="733"/>
      <c r="K41" s="733"/>
      <c r="L41" s="733"/>
      <c r="M41" s="733"/>
      <c r="N41" s="733"/>
      <c r="O41" s="733"/>
      <c r="P41" s="733"/>
      <c r="Q41" s="733"/>
      <c r="R41" s="733"/>
    </row>
    <row r="42" spans="1:18" s="97" customFormat="1" ht="3" customHeight="1">
      <c r="A42" s="269"/>
      <c r="B42" s="108"/>
      <c r="C42" s="108"/>
      <c r="D42" s="108"/>
      <c r="E42" s="108"/>
      <c r="F42" s="108"/>
      <c r="G42" s="108"/>
      <c r="H42" s="108"/>
      <c r="I42" s="108"/>
      <c r="J42" s="108"/>
      <c r="K42" s="108"/>
      <c r="L42" s="108"/>
      <c r="M42" s="108"/>
      <c r="N42" s="108"/>
      <c r="O42" s="108"/>
      <c r="P42" s="108"/>
      <c r="Q42" s="108"/>
      <c r="R42" s="108"/>
    </row>
    <row r="43" spans="1:18" s="97" customFormat="1" ht="10.15" customHeight="1">
      <c r="A43" s="19" t="s">
        <v>477</v>
      </c>
      <c r="B43" s="3">
        <v>5930</v>
      </c>
      <c r="C43" s="1">
        <v>62.434196672983788</v>
      </c>
      <c r="D43" s="1"/>
      <c r="E43" s="3">
        <v>280</v>
      </c>
      <c r="F43" s="1">
        <v>2.9479890503263846</v>
      </c>
      <c r="G43" s="3"/>
      <c r="H43" s="3">
        <v>3568</v>
      </c>
      <c r="I43" s="1">
        <v>37.565803327016212</v>
      </c>
      <c r="J43" s="3"/>
      <c r="K43" s="3">
        <v>120</v>
      </c>
      <c r="L43" s="1">
        <v>1.2634238787113077</v>
      </c>
      <c r="M43" s="3"/>
      <c r="N43" s="3">
        <v>9498</v>
      </c>
      <c r="O43" s="1">
        <v>100</v>
      </c>
      <c r="P43" s="3"/>
      <c r="Q43" s="3">
        <v>400</v>
      </c>
      <c r="R43" s="1">
        <v>4.2114129290376923</v>
      </c>
    </row>
    <row r="44" spans="1:18" s="97" customFormat="1" ht="10.15" customHeight="1">
      <c r="A44" s="19" t="s">
        <v>478</v>
      </c>
      <c r="B44" s="3">
        <v>1985</v>
      </c>
      <c r="C44" s="1">
        <v>61.550387596899228</v>
      </c>
      <c r="D44" s="1"/>
      <c r="E44" s="3">
        <v>105</v>
      </c>
      <c r="F44" s="1">
        <v>3.2558139534883721</v>
      </c>
      <c r="G44" s="3"/>
      <c r="H44" s="3">
        <v>1240</v>
      </c>
      <c r="I44" s="1">
        <v>38.449612403100772</v>
      </c>
      <c r="J44" s="3"/>
      <c r="K44" s="3">
        <v>31</v>
      </c>
      <c r="L44" s="1">
        <v>0.96124031007751942</v>
      </c>
      <c r="M44" s="3"/>
      <c r="N44" s="3">
        <v>3225</v>
      </c>
      <c r="O44" s="1">
        <v>100</v>
      </c>
      <c r="P44" s="3"/>
      <c r="Q44" s="3">
        <v>136</v>
      </c>
      <c r="R44" s="1">
        <v>4.217054263565891</v>
      </c>
    </row>
    <row r="45" spans="1:18" s="97" customFormat="1" ht="10.15" customHeight="1">
      <c r="A45" s="19" t="s">
        <v>479</v>
      </c>
      <c r="B45" s="3">
        <v>1214</v>
      </c>
      <c r="C45" s="1">
        <v>64.540138224348752</v>
      </c>
      <c r="D45" s="1"/>
      <c r="E45" s="3">
        <v>44</v>
      </c>
      <c r="F45" s="1">
        <v>2.3391812865497075</v>
      </c>
      <c r="G45" s="3"/>
      <c r="H45" s="3">
        <v>667</v>
      </c>
      <c r="I45" s="1">
        <v>35.459861775651248</v>
      </c>
      <c r="J45" s="3"/>
      <c r="K45" s="3">
        <v>21</v>
      </c>
      <c r="L45" s="1">
        <v>1.1164274322169059</v>
      </c>
      <c r="M45" s="3"/>
      <c r="N45" s="3">
        <v>1881</v>
      </c>
      <c r="O45" s="1">
        <v>100</v>
      </c>
      <c r="P45" s="3"/>
      <c r="Q45" s="3">
        <v>65</v>
      </c>
      <c r="R45" s="1">
        <v>3.4556087187666131</v>
      </c>
    </row>
    <row r="46" spans="1:18" s="97" customFormat="1" ht="10.15" customHeight="1">
      <c r="A46" s="12" t="s">
        <v>480</v>
      </c>
      <c r="B46" s="3">
        <v>595</v>
      </c>
      <c r="C46" s="1">
        <v>81.173260572987729</v>
      </c>
      <c r="D46" s="1"/>
      <c r="E46" s="3">
        <v>17</v>
      </c>
      <c r="F46" s="1">
        <v>2.3192360163710775</v>
      </c>
      <c r="G46" s="3"/>
      <c r="H46" s="3">
        <v>138</v>
      </c>
      <c r="I46" s="1">
        <v>18.826739427012278</v>
      </c>
      <c r="J46" s="3"/>
      <c r="K46" s="3">
        <v>4</v>
      </c>
      <c r="L46" s="1">
        <v>0.54570259208731242</v>
      </c>
      <c r="M46" s="3"/>
      <c r="N46" s="3">
        <v>733</v>
      </c>
      <c r="O46" s="1">
        <v>100</v>
      </c>
      <c r="P46" s="3"/>
      <c r="Q46" s="3">
        <v>21</v>
      </c>
      <c r="R46" s="1">
        <v>2.8649386084583903</v>
      </c>
    </row>
    <row r="47" spans="1:18" s="97" customFormat="1" ht="10.15" customHeight="1">
      <c r="A47" s="109" t="s">
        <v>481</v>
      </c>
      <c r="B47" s="3">
        <v>32219</v>
      </c>
      <c r="C47" s="1">
        <v>69.689825229278426</v>
      </c>
      <c r="D47" s="1"/>
      <c r="E47" s="3">
        <v>1484</v>
      </c>
      <c r="F47" s="1">
        <v>3.2098979062121473</v>
      </c>
      <c r="G47" s="3"/>
      <c r="H47" s="3">
        <v>14013</v>
      </c>
      <c r="I47" s="1">
        <v>30.310174770721577</v>
      </c>
      <c r="J47" s="3"/>
      <c r="K47" s="3">
        <v>584</v>
      </c>
      <c r="L47" s="1">
        <v>1.2631943242775567</v>
      </c>
      <c r="M47" s="3"/>
      <c r="N47" s="3">
        <v>46232</v>
      </c>
      <c r="O47" s="1">
        <v>100</v>
      </c>
      <c r="P47" s="3"/>
      <c r="Q47" s="3">
        <v>2068</v>
      </c>
      <c r="R47" s="1">
        <v>4.4730922304897041</v>
      </c>
    </row>
    <row r="48" spans="1:18" s="97" customFormat="1" ht="10.15" customHeight="1">
      <c r="A48" s="11" t="s">
        <v>482</v>
      </c>
      <c r="B48" s="3">
        <v>224</v>
      </c>
      <c r="C48" s="1">
        <v>76.712328767123282</v>
      </c>
      <c r="D48" s="1"/>
      <c r="E48" s="3">
        <v>8</v>
      </c>
      <c r="F48" s="1">
        <v>2.7397260273972601</v>
      </c>
      <c r="G48" s="3"/>
      <c r="H48" s="3">
        <v>68</v>
      </c>
      <c r="I48" s="1">
        <v>23.287671232876711</v>
      </c>
      <c r="J48" s="3"/>
      <c r="K48" s="3">
        <v>0</v>
      </c>
      <c r="L48" s="3">
        <v>0</v>
      </c>
      <c r="M48" s="3"/>
      <c r="N48" s="3">
        <v>292</v>
      </c>
      <c r="O48" s="1">
        <v>100</v>
      </c>
      <c r="P48" s="3"/>
      <c r="Q48" s="3">
        <v>8</v>
      </c>
      <c r="R48" s="1">
        <v>2.7397260273972601</v>
      </c>
    </row>
    <row r="49" spans="1:19" s="16" customFormat="1" ht="10.15" customHeight="1">
      <c r="A49" s="16" t="s">
        <v>58</v>
      </c>
      <c r="B49" s="5">
        <v>42167</v>
      </c>
      <c r="C49" s="6">
        <v>68.164109859200465</v>
      </c>
      <c r="D49" s="6"/>
      <c r="E49" s="5">
        <v>1938</v>
      </c>
      <c r="F49" s="6">
        <v>3.1328300544769725</v>
      </c>
      <c r="G49" s="110"/>
      <c r="H49" s="110">
        <v>19694</v>
      </c>
      <c r="I49" s="6">
        <v>31.835890140799535</v>
      </c>
      <c r="J49" s="110"/>
      <c r="K49" s="110">
        <v>760</v>
      </c>
      <c r="L49" s="6">
        <v>1.2285608056772441</v>
      </c>
      <c r="M49" s="110"/>
      <c r="N49" s="110">
        <v>61861</v>
      </c>
      <c r="O49" s="6">
        <v>100</v>
      </c>
      <c r="P49" s="110"/>
      <c r="Q49" s="110">
        <v>2698</v>
      </c>
      <c r="R49" s="6">
        <v>4.3613908601542173</v>
      </c>
      <c r="S49" s="479"/>
    </row>
    <row r="50" spans="1:19" ht="3" customHeight="1">
      <c r="A50" s="20"/>
      <c r="B50" s="20"/>
      <c r="C50" s="20"/>
      <c r="D50" s="20"/>
      <c r="E50" s="20"/>
      <c r="F50" s="21"/>
      <c r="G50" s="20"/>
      <c r="H50" s="20"/>
      <c r="I50" s="20"/>
      <c r="J50" s="20"/>
      <c r="K50" s="20"/>
      <c r="L50" s="20"/>
      <c r="M50" s="20"/>
      <c r="N50" s="20"/>
      <c r="O50" s="22"/>
      <c r="P50" s="20"/>
      <c r="Q50" s="22"/>
      <c r="R50" s="22"/>
    </row>
    <row r="51" spans="1:19" ht="3" customHeight="1"/>
    <row r="52" spans="1:19" ht="10.15" customHeight="1">
      <c r="A52" s="103" t="s">
        <v>449</v>
      </c>
      <c r="B52" s="111"/>
      <c r="C52" s="111"/>
      <c r="D52" s="111"/>
      <c r="E52" s="111"/>
      <c r="F52" s="111"/>
      <c r="G52" s="111"/>
      <c r="H52" s="111"/>
      <c r="I52" s="111"/>
      <c r="J52" s="111"/>
      <c r="K52" s="111"/>
      <c r="L52" s="111"/>
      <c r="M52" s="111"/>
      <c r="N52" s="111"/>
      <c r="O52" s="111"/>
      <c r="P52" s="111"/>
      <c r="Q52" s="111"/>
      <c r="R52" s="111"/>
      <c r="S52" s="500"/>
    </row>
    <row r="53" spans="1:19" ht="30" customHeight="1">
      <c r="A53" s="735" t="s">
        <v>483</v>
      </c>
      <c r="B53" s="735"/>
      <c r="C53" s="735"/>
      <c r="D53" s="735"/>
      <c r="E53" s="735"/>
      <c r="F53" s="735"/>
      <c r="G53" s="735"/>
      <c r="H53" s="735"/>
      <c r="I53" s="735"/>
      <c r="J53" s="735"/>
      <c r="K53" s="735"/>
      <c r="L53" s="735"/>
      <c r="M53" s="735"/>
      <c r="N53" s="735"/>
      <c r="O53" s="735"/>
      <c r="P53" s="735"/>
      <c r="Q53" s="735"/>
      <c r="R53" s="735"/>
    </row>
    <row r="54" spans="1:19" ht="10.15" customHeight="1">
      <c r="A54" s="734" t="s">
        <v>484</v>
      </c>
      <c r="B54" s="734"/>
      <c r="C54" s="734"/>
      <c r="D54" s="734"/>
      <c r="E54" s="734"/>
      <c r="F54" s="734"/>
      <c r="G54" s="734"/>
      <c r="H54" s="734"/>
      <c r="I54" s="734"/>
      <c r="J54" s="734"/>
      <c r="K54" s="734"/>
      <c r="L54" s="734"/>
      <c r="M54" s="734"/>
      <c r="N54" s="734"/>
      <c r="O54" s="734"/>
      <c r="P54" s="734"/>
      <c r="Q54" s="734"/>
      <c r="R54" s="734"/>
    </row>
    <row r="55" spans="1:19" ht="20.149999999999999" customHeight="1">
      <c r="A55" s="734" t="s">
        <v>485</v>
      </c>
      <c r="B55" s="734"/>
      <c r="C55" s="734"/>
      <c r="D55" s="734"/>
      <c r="E55" s="734"/>
      <c r="F55" s="734"/>
      <c r="G55" s="734"/>
      <c r="H55" s="734"/>
      <c r="I55" s="734"/>
      <c r="J55" s="734"/>
      <c r="K55" s="734"/>
      <c r="L55" s="734"/>
      <c r="M55" s="734"/>
      <c r="N55" s="734"/>
      <c r="O55" s="734"/>
      <c r="P55" s="734"/>
      <c r="Q55" s="734"/>
      <c r="R55" s="734"/>
    </row>
    <row r="56" spans="1:19" ht="20.149999999999999" customHeight="1">
      <c r="A56" s="734" t="s">
        <v>486</v>
      </c>
      <c r="B56" s="734"/>
      <c r="C56" s="734"/>
      <c r="D56" s="734"/>
      <c r="E56" s="734"/>
      <c r="F56" s="734"/>
      <c r="G56" s="734"/>
      <c r="H56" s="734"/>
      <c r="I56" s="734"/>
      <c r="J56" s="734"/>
      <c r="K56" s="734"/>
      <c r="L56" s="734"/>
      <c r="M56" s="734"/>
      <c r="N56" s="734"/>
      <c r="O56" s="734"/>
      <c r="P56" s="734"/>
      <c r="Q56" s="734"/>
      <c r="R56" s="734"/>
    </row>
    <row r="57" spans="1:19">
      <c r="B57" s="3"/>
      <c r="C57" s="3"/>
      <c r="D57" s="3"/>
      <c r="E57" s="3"/>
      <c r="F57" s="3"/>
      <c r="G57" s="3"/>
      <c r="H57" s="3"/>
      <c r="I57" s="3"/>
      <c r="J57" s="3"/>
      <c r="K57" s="3"/>
      <c r="L57" s="3"/>
      <c r="M57" s="3"/>
      <c r="N57" s="3"/>
      <c r="O57" s="3"/>
      <c r="P57" s="3"/>
      <c r="Q57" s="3"/>
      <c r="R57" s="3"/>
    </row>
    <row r="58" spans="1:19">
      <c r="A58" s="103"/>
    </row>
  </sheetData>
  <mergeCells count="21">
    <mergeCell ref="K9:L9"/>
    <mergeCell ref="N9:N10"/>
    <mergeCell ref="O9:O10"/>
    <mergeCell ref="A5:R5"/>
    <mergeCell ref="A8:A10"/>
    <mergeCell ref="B8:F8"/>
    <mergeCell ref="H8:L8"/>
    <mergeCell ref="N8:R8"/>
    <mergeCell ref="Q9:R9"/>
    <mergeCell ref="B9:B10"/>
    <mergeCell ref="C9:C10"/>
    <mergeCell ref="E9:F9"/>
    <mergeCell ref="H9:H10"/>
    <mergeCell ref="I9:I10"/>
    <mergeCell ref="A56:R56"/>
    <mergeCell ref="B17:R17"/>
    <mergeCell ref="B19:R19"/>
    <mergeCell ref="B41:R41"/>
    <mergeCell ref="A53:R53"/>
    <mergeCell ref="A54:R54"/>
    <mergeCell ref="A55:R55"/>
  </mergeCells>
  <pageMargins left="0.59055118110236227" right="0.59055118110236227" top="0.78740157480314965" bottom="0.78740157480314965" header="0" footer="0"/>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I47"/>
  <sheetViews>
    <sheetView zoomScaleNormal="100" workbookViewId="0">
      <selection activeCell="A4" sqref="A4"/>
    </sheetView>
  </sheetViews>
  <sheetFormatPr defaultColWidth="9.26953125" defaultRowHeight="9"/>
  <cols>
    <col min="1" max="1" width="20.7265625" style="13" customWidth="1"/>
    <col min="2" max="2" width="6.26953125" style="13" bestFit="1" customWidth="1"/>
    <col min="3" max="3" width="5" style="13" customWidth="1"/>
    <col min="4" max="4" width="0.7265625" style="13" customWidth="1"/>
    <col min="5" max="6" width="5.453125" style="13" bestFit="1" customWidth="1"/>
    <col min="7" max="7" width="0.7265625" style="13" customWidth="1"/>
    <col min="8" max="8" width="5.7265625" style="13" bestFit="1" customWidth="1"/>
    <col min="9" max="9" width="5" style="13" customWidth="1"/>
    <col min="10" max="10" width="0.7265625" style="13" customWidth="1"/>
    <col min="11" max="11" width="4.7265625" style="13" bestFit="1" customWidth="1"/>
    <col min="12" max="12" width="5.453125" style="13" bestFit="1" customWidth="1"/>
    <col min="13" max="13" width="0.7265625" style="13" customWidth="1"/>
    <col min="14" max="14" width="6.26953125" style="561" bestFit="1" customWidth="1"/>
    <col min="15" max="15" width="5" style="13" customWidth="1"/>
    <col min="16" max="16" width="0.7265625" style="13" customWidth="1"/>
    <col min="17" max="17" width="5.7265625" style="13" customWidth="1"/>
    <col min="18" max="18" width="5.453125" style="13" bestFit="1" customWidth="1"/>
    <col min="19" max="19" width="4.54296875" style="13" customWidth="1"/>
    <col min="20" max="20" width="0" style="13" hidden="1" customWidth="1"/>
    <col min="21" max="21" width="8.26953125" style="13" hidden="1" customWidth="1"/>
    <col min="22" max="22" width="6.1796875" style="13" hidden="1" customWidth="1"/>
    <col min="23" max="23" width="2.453125" style="13" hidden="1" customWidth="1"/>
    <col min="24" max="24" width="7" style="13" hidden="1" customWidth="1"/>
    <col min="25" max="25" width="6.1796875" style="13" hidden="1" customWidth="1"/>
    <col min="26" max="26" width="2.1796875" style="13" hidden="1" customWidth="1"/>
    <col min="27" max="27" width="7.54296875" style="13" hidden="1" customWidth="1"/>
    <col min="28" max="28" width="4.26953125" style="13" hidden="1" customWidth="1"/>
    <col min="29" max="29" width="1.26953125" style="13" hidden="1" customWidth="1"/>
    <col min="30" max="30" width="8.1796875" style="13" hidden="1" customWidth="1"/>
    <col min="31" max="31" width="6.54296875" style="13" hidden="1" customWidth="1"/>
    <col min="32" max="32" width="2" style="13" hidden="1" customWidth="1"/>
    <col min="33" max="33" width="5.54296875" style="13" hidden="1" customWidth="1"/>
    <col min="34" max="34" width="4.26953125" style="13" hidden="1" customWidth="1"/>
    <col min="35" max="35" width="1.7265625" style="13" hidden="1" customWidth="1"/>
    <col min="36" max="37" width="6.1796875" style="13" hidden="1" customWidth="1"/>
    <col min="38" max="44" width="9.26953125" style="13"/>
    <col min="45" max="45" width="2.1796875" style="13" customWidth="1"/>
    <col min="46" max="50" width="9.26953125" style="13"/>
    <col min="51" max="51" width="2" style="13" customWidth="1"/>
    <col min="52" max="52" width="9.26953125" style="561"/>
    <col min="53" max="16384" width="9.26953125" style="13"/>
  </cols>
  <sheetData>
    <row r="1" spans="1:56" s="41" customFormat="1" ht="12.75" customHeight="1">
      <c r="N1" s="552"/>
      <c r="AZ1" s="552"/>
    </row>
    <row r="2" spans="1:56" s="41" customFormat="1" ht="12.75" customHeight="1">
      <c r="N2" s="552"/>
      <c r="AZ2" s="552"/>
    </row>
    <row r="3" spans="1:56" s="41" customFormat="1" ht="12.75" customHeight="1">
      <c r="A3" s="42"/>
      <c r="N3" s="552"/>
      <c r="AZ3" s="552"/>
    </row>
    <row r="4" spans="1:56" s="44" customFormat="1" ht="12" customHeight="1">
      <c r="A4" s="43" t="s">
        <v>39</v>
      </c>
      <c r="B4" s="43"/>
      <c r="C4" s="43"/>
      <c r="D4" s="43"/>
      <c r="E4" s="43"/>
      <c r="F4" s="43"/>
      <c r="G4" s="43"/>
      <c r="H4" s="43"/>
      <c r="I4" s="43"/>
      <c r="J4" s="43"/>
      <c r="K4" s="43"/>
      <c r="L4" s="43"/>
      <c r="M4" s="43"/>
      <c r="N4" s="553"/>
      <c r="P4" s="43"/>
      <c r="T4" s="43" t="s">
        <v>39</v>
      </c>
      <c r="U4" s="43"/>
      <c r="V4" s="43"/>
      <c r="W4" s="43"/>
      <c r="X4" s="43"/>
      <c r="Y4" s="43"/>
      <c r="Z4" s="43"/>
      <c r="AA4" s="43"/>
      <c r="AB4" s="43"/>
      <c r="AC4" s="43"/>
      <c r="AD4" s="43"/>
      <c r="AE4" s="43"/>
      <c r="AF4" s="43"/>
      <c r="AI4" s="43"/>
      <c r="AZ4" s="553"/>
    </row>
    <row r="5" spans="1:56" s="44" customFormat="1" ht="24" customHeight="1">
      <c r="A5" s="739" t="s">
        <v>487</v>
      </c>
      <c r="B5" s="739"/>
      <c r="C5" s="739"/>
      <c r="D5" s="739"/>
      <c r="E5" s="739"/>
      <c r="F5" s="739"/>
      <c r="G5" s="739"/>
      <c r="H5" s="739"/>
      <c r="I5" s="739"/>
      <c r="J5" s="739"/>
      <c r="K5" s="739"/>
      <c r="L5" s="739"/>
      <c r="M5" s="739"/>
      <c r="N5" s="739"/>
      <c r="O5" s="739"/>
      <c r="P5" s="739"/>
      <c r="Q5" s="739"/>
      <c r="R5" s="739"/>
      <c r="T5" s="739" t="s">
        <v>487</v>
      </c>
      <c r="U5" s="740"/>
      <c r="V5" s="740"/>
      <c r="W5" s="740"/>
      <c r="X5" s="740"/>
      <c r="Y5" s="740"/>
      <c r="Z5" s="740"/>
      <c r="AA5" s="740"/>
      <c r="AB5" s="740"/>
      <c r="AC5" s="740"/>
      <c r="AD5" s="740"/>
      <c r="AE5" s="740"/>
      <c r="AF5" s="740"/>
      <c r="AG5" s="740"/>
      <c r="AH5" s="740"/>
      <c r="AI5" s="740"/>
      <c r="AJ5" s="740"/>
      <c r="AK5" s="740"/>
      <c r="AZ5" s="553"/>
    </row>
    <row r="6" spans="1:56" s="44" customFormat="1" ht="12" customHeight="1">
      <c r="A6" s="47" t="s">
        <v>11</v>
      </c>
      <c r="N6" s="553"/>
      <c r="T6" s="47" t="s">
        <v>32</v>
      </c>
      <c r="AZ6" s="553"/>
    </row>
    <row r="7" spans="1:56" s="41" customFormat="1" ht="6" customHeight="1">
      <c r="A7" s="45"/>
      <c r="B7" s="46"/>
      <c r="C7" s="46"/>
      <c r="D7" s="46"/>
      <c r="E7" s="46"/>
      <c r="F7" s="46"/>
      <c r="G7" s="46"/>
      <c r="H7" s="46"/>
      <c r="I7" s="46"/>
      <c r="J7" s="46"/>
      <c r="K7" s="46"/>
      <c r="L7" s="46"/>
      <c r="M7" s="46"/>
      <c r="N7" s="554"/>
      <c r="O7" s="46"/>
      <c r="P7" s="46"/>
      <c r="Q7" s="46"/>
      <c r="R7" s="46"/>
      <c r="T7" s="45"/>
      <c r="U7" s="46"/>
      <c r="V7" s="46"/>
      <c r="W7" s="46"/>
      <c r="X7" s="46"/>
      <c r="Y7" s="46"/>
      <c r="Z7" s="46"/>
      <c r="AA7" s="46"/>
      <c r="AB7" s="46"/>
      <c r="AC7" s="46"/>
      <c r="AD7" s="46"/>
      <c r="AE7" s="46"/>
      <c r="AF7" s="46"/>
      <c r="AG7" s="46"/>
      <c r="AH7" s="46"/>
      <c r="AI7" s="46"/>
      <c r="AJ7" s="46"/>
      <c r="AK7" s="46"/>
      <c r="AZ7" s="552"/>
    </row>
    <row r="8" spans="1:56" ht="15" customHeight="1">
      <c r="A8" s="741" t="s">
        <v>488</v>
      </c>
      <c r="B8" s="736" t="s">
        <v>454</v>
      </c>
      <c r="C8" s="736"/>
      <c r="D8" s="736"/>
      <c r="E8" s="736"/>
      <c r="F8" s="736"/>
      <c r="G8" s="592"/>
      <c r="H8" s="736" t="s">
        <v>434</v>
      </c>
      <c r="I8" s="736"/>
      <c r="J8" s="736"/>
      <c r="K8" s="736"/>
      <c r="L8" s="736"/>
      <c r="M8" s="592"/>
      <c r="N8" s="736" t="s">
        <v>58</v>
      </c>
      <c r="O8" s="736"/>
      <c r="P8" s="736"/>
      <c r="Q8" s="736"/>
      <c r="R8" s="736"/>
      <c r="T8" s="741" t="s">
        <v>488</v>
      </c>
      <c r="U8" s="736" t="s">
        <v>454</v>
      </c>
      <c r="V8" s="736"/>
      <c r="W8" s="736"/>
      <c r="X8" s="736"/>
      <c r="Y8" s="736"/>
      <c r="Z8" s="590"/>
      <c r="AA8" s="736" t="s">
        <v>434</v>
      </c>
      <c r="AB8" s="736"/>
      <c r="AC8" s="736"/>
      <c r="AD8" s="736"/>
      <c r="AE8" s="736"/>
      <c r="AF8" s="590"/>
      <c r="AG8" s="736" t="s">
        <v>58</v>
      </c>
      <c r="AH8" s="736"/>
      <c r="AI8" s="736"/>
      <c r="AJ8" s="736"/>
      <c r="AK8" s="736"/>
      <c r="AM8" s="741" t="s">
        <v>488</v>
      </c>
      <c r="AN8" s="736" t="s">
        <v>454</v>
      </c>
      <c r="AO8" s="736"/>
      <c r="AP8" s="736"/>
      <c r="AQ8" s="736"/>
      <c r="AR8" s="736"/>
      <c r="AS8" s="590"/>
      <c r="AT8" s="736" t="s">
        <v>434</v>
      </c>
      <c r="AU8" s="736"/>
      <c r="AV8" s="736"/>
      <c r="AW8" s="736"/>
      <c r="AX8" s="736"/>
      <c r="AY8" s="590"/>
      <c r="AZ8" s="736" t="s">
        <v>58</v>
      </c>
      <c r="BA8" s="736"/>
      <c r="BB8" s="736"/>
      <c r="BC8" s="736"/>
      <c r="BD8" s="736"/>
    </row>
    <row r="9" spans="1:56" ht="15" customHeight="1">
      <c r="A9" s="734"/>
      <c r="B9" s="737" t="s">
        <v>124</v>
      </c>
      <c r="C9" s="745" t="s">
        <v>363</v>
      </c>
      <c r="D9" s="475"/>
      <c r="E9" s="736" t="s">
        <v>455</v>
      </c>
      <c r="F9" s="736"/>
      <c r="G9" s="475"/>
      <c r="H9" s="737" t="s">
        <v>124</v>
      </c>
      <c r="I9" s="745" t="s">
        <v>363</v>
      </c>
      <c r="J9" s="475"/>
      <c r="K9" s="736" t="s">
        <v>455</v>
      </c>
      <c r="L9" s="736"/>
      <c r="M9" s="475"/>
      <c r="N9" s="746" t="s">
        <v>124</v>
      </c>
      <c r="O9" s="745" t="s">
        <v>363</v>
      </c>
      <c r="P9" s="475"/>
      <c r="Q9" s="736" t="s">
        <v>455</v>
      </c>
      <c r="R9" s="736"/>
      <c r="T9" s="742"/>
      <c r="U9" s="737" t="s">
        <v>124</v>
      </c>
      <c r="V9" s="745" t="s">
        <v>363</v>
      </c>
      <c r="W9" s="14"/>
      <c r="X9" s="736" t="s">
        <v>455</v>
      </c>
      <c r="Y9" s="736"/>
      <c r="Z9" s="14"/>
      <c r="AA9" s="737" t="s">
        <v>124</v>
      </c>
      <c r="AB9" s="745" t="s">
        <v>363</v>
      </c>
      <c r="AC9" s="14"/>
      <c r="AD9" s="736" t="s">
        <v>455</v>
      </c>
      <c r="AE9" s="736"/>
      <c r="AF9" s="14"/>
      <c r="AG9" s="737" t="s">
        <v>124</v>
      </c>
      <c r="AH9" s="745" t="s">
        <v>363</v>
      </c>
      <c r="AI9" s="14"/>
      <c r="AJ9" s="736" t="s">
        <v>455</v>
      </c>
      <c r="AK9" s="736"/>
      <c r="AM9" s="742"/>
      <c r="AN9" s="737" t="s">
        <v>124</v>
      </c>
      <c r="AO9" s="745" t="s">
        <v>363</v>
      </c>
      <c r="AP9" s="14"/>
      <c r="AQ9" s="736" t="s">
        <v>455</v>
      </c>
      <c r="AR9" s="736"/>
      <c r="AS9" s="14"/>
      <c r="AT9" s="737" t="s">
        <v>124</v>
      </c>
      <c r="AU9" s="745" t="s">
        <v>363</v>
      </c>
      <c r="AV9" s="14"/>
      <c r="AW9" s="736" t="s">
        <v>455</v>
      </c>
      <c r="AX9" s="736"/>
      <c r="AY9" s="14"/>
      <c r="AZ9" s="746" t="s">
        <v>124</v>
      </c>
      <c r="BA9" s="745" t="s">
        <v>363</v>
      </c>
      <c r="BB9" s="14"/>
      <c r="BC9" s="736" t="s">
        <v>455</v>
      </c>
      <c r="BD9" s="736"/>
    </row>
    <row r="10" spans="1:56" ht="15" customHeight="1">
      <c r="A10" s="748"/>
      <c r="B10" s="738"/>
      <c r="C10" s="749"/>
      <c r="D10" s="15"/>
      <c r="E10" s="271" t="s">
        <v>58</v>
      </c>
      <c r="F10" s="40" t="s">
        <v>363</v>
      </c>
      <c r="G10" s="15"/>
      <c r="H10" s="738"/>
      <c r="I10" s="749"/>
      <c r="J10" s="15"/>
      <c r="K10" s="271" t="s">
        <v>58</v>
      </c>
      <c r="L10" s="40" t="s">
        <v>363</v>
      </c>
      <c r="M10" s="15"/>
      <c r="N10" s="747"/>
      <c r="O10" s="749"/>
      <c r="P10" s="15"/>
      <c r="Q10" s="271" t="s">
        <v>58</v>
      </c>
      <c r="R10" s="40" t="s">
        <v>363</v>
      </c>
      <c r="T10" s="743"/>
      <c r="U10" s="738"/>
      <c r="V10" s="738"/>
      <c r="W10" s="15"/>
      <c r="X10" s="271" t="s">
        <v>58</v>
      </c>
      <c r="Y10" s="40" t="s">
        <v>363</v>
      </c>
      <c r="Z10" s="15"/>
      <c r="AA10" s="738"/>
      <c r="AB10" s="738"/>
      <c r="AC10" s="15"/>
      <c r="AD10" s="271" t="s">
        <v>58</v>
      </c>
      <c r="AE10" s="40" t="s">
        <v>363</v>
      </c>
      <c r="AF10" s="15"/>
      <c r="AG10" s="738"/>
      <c r="AH10" s="738"/>
      <c r="AI10" s="15"/>
      <c r="AJ10" s="271" t="s">
        <v>58</v>
      </c>
      <c r="AK10" s="40" t="s">
        <v>363</v>
      </c>
      <c r="AM10" s="743"/>
      <c r="AN10" s="738"/>
      <c r="AO10" s="738"/>
      <c r="AP10" s="15"/>
      <c r="AQ10" s="271" t="s">
        <v>58</v>
      </c>
      <c r="AR10" s="40" t="s">
        <v>363</v>
      </c>
      <c r="AS10" s="15"/>
      <c r="AT10" s="738"/>
      <c r="AU10" s="738"/>
      <c r="AV10" s="15"/>
      <c r="AW10" s="271" t="s">
        <v>58</v>
      </c>
      <c r="AX10" s="40" t="s">
        <v>363</v>
      </c>
      <c r="AY10" s="15"/>
      <c r="AZ10" s="747"/>
      <c r="BA10" s="738"/>
      <c r="BB10" s="15"/>
      <c r="BC10" s="271" t="s">
        <v>58</v>
      </c>
      <c r="BD10" s="40" t="s">
        <v>363</v>
      </c>
    </row>
    <row r="11" spans="1:56" ht="3" customHeight="1">
      <c r="A11" s="16"/>
      <c r="B11" s="17"/>
      <c r="C11" s="17"/>
      <c r="D11" s="17"/>
      <c r="E11" s="17"/>
      <c r="F11" s="17"/>
      <c r="G11" s="17"/>
      <c r="H11" s="17"/>
      <c r="I11" s="17"/>
      <c r="J11" s="17"/>
      <c r="K11" s="17"/>
      <c r="L11" s="17"/>
      <c r="M11" s="17"/>
      <c r="N11" s="555"/>
      <c r="P11" s="17"/>
      <c r="T11" s="16"/>
      <c r="U11" s="17"/>
      <c r="V11" s="17"/>
      <c r="W11" s="17"/>
      <c r="X11" s="17"/>
      <c r="Y11" s="17"/>
      <c r="Z11" s="17"/>
      <c r="AA11" s="17"/>
      <c r="AB11" s="17"/>
      <c r="AC11" s="17"/>
      <c r="AD11" s="17"/>
      <c r="AE11" s="17"/>
      <c r="AF11" s="17"/>
      <c r="AG11" s="17"/>
      <c r="AI11" s="17"/>
      <c r="AM11" s="16"/>
      <c r="AN11" s="17"/>
      <c r="AO11" s="17"/>
      <c r="AP11" s="17"/>
      <c r="AQ11" s="17"/>
      <c r="AR11" s="17"/>
      <c r="AS11" s="17"/>
      <c r="AT11" s="17"/>
      <c r="AU11" s="17"/>
      <c r="AV11" s="17"/>
      <c r="AW11" s="17"/>
      <c r="AX11" s="17"/>
      <c r="AY11" s="17"/>
      <c r="AZ11" s="555"/>
      <c r="BB11" s="17"/>
    </row>
    <row r="12" spans="1:56" ht="10.15" customHeight="1">
      <c r="A12" s="33" t="s">
        <v>442</v>
      </c>
      <c r="B12" s="3">
        <v>14671</v>
      </c>
      <c r="C12" s="1">
        <v>77.138650822861351</v>
      </c>
      <c r="E12" s="3">
        <v>1509</v>
      </c>
      <c r="F12" s="1">
        <v>10.285597437120851</v>
      </c>
      <c r="G12" s="3"/>
      <c r="H12" s="3">
        <v>4348</v>
      </c>
      <c r="I12" s="1">
        <v>22.861349177138653</v>
      </c>
      <c r="K12" s="3">
        <v>455</v>
      </c>
      <c r="L12" s="1">
        <v>10.46458141674333</v>
      </c>
      <c r="M12" s="3"/>
      <c r="N12" s="556">
        <v>19019</v>
      </c>
      <c r="O12" s="1">
        <v>100</v>
      </c>
      <c r="P12" s="3"/>
      <c r="Q12" s="3">
        <v>1964</v>
      </c>
      <c r="R12" s="1">
        <v>10.326515589673486</v>
      </c>
      <c r="T12" s="33" t="s">
        <v>444</v>
      </c>
      <c r="U12" s="3">
        <v>15716</v>
      </c>
      <c r="V12" s="1">
        <v>74.970185565043167</v>
      </c>
      <c r="X12" s="3">
        <v>1689</v>
      </c>
      <c r="Y12" s="1">
        <v>10.747009417154493</v>
      </c>
      <c r="Z12" s="3"/>
      <c r="AA12" s="3">
        <v>5247</v>
      </c>
      <c r="AB12" s="1">
        <v>25.029814434956826</v>
      </c>
      <c r="AD12" s="3">
        <v>569</v>
      </c>
      <c r="AE12" s="1">
        <v>10.844291976367447</v>
      </c>
      <c r="AF12" s="3"/>
      <c r="AG12" s="3">
        <v>20963</v>
      </c>
      <c r="AH12" s="24">
        <v>100</v>
      </c>
      <c r="AI12" s="3"/>
      <c r="AJ12" s="3">
        <v>2258</v>
      </c>
      <c r="AK12" s="1">
        <v>10.771359061203071</v>
      </c>
      <c r="AM12" s="33" t="s">
        <v>444</v>
      </c>
      <c r="AN12" s="3">
        <v>15716</v>
      </c>
      <c r="AO12" s="1">
        <v>74.970185565043167</v>
      </c>
      <c r="AQ12" s="3">
        <v>1689</v>
      </c>
      <c r="AR12" s="1">
        <v>10.747009417154493</v>
      </c>
      <c r="AS12" s="3"/>
      <c r="AT12" s="3">
        <v>5247</v>
      </c>
      <c r="AU12" s="1">
        <v>25.029814434956826</v>
      </c>
      <c r="AW12" s="3">
        <v>569</v>
      </c>
      <c r="AX12" s="1">
        <v>10.844291976367447</v>
      </c>
      <c r="AY12" s="3"/>
      <c r="AZ12" s="556">
        <v>20963</v>
      </c>
      <c r="BA12" s="24">
        <v>100</v>
      </c>
      <c r="BB12" s="3"/>
      <c r="BC12" s="3">
        <v>2258</v>
      </c>
      <c r="BD12" s="1">
        <v>10.771359061203071</v>
      </c>
    </row>
    <row r="13" spans="1:56" ht="10.15" customHeight="1">
      <c r="A13" s="33" t="s">
        <v>443</v>
      </c>
      <c r="B13" s="3">
        <v>16197</v>
      </c>
      <c r="C13" s="1">
        <v>77.8814252055585</v>
      </c>
      <c r="E13" s="3">
        <v>1630</v>
      </c>
      <c r="F13" s="1">
        <v>10.063592023214175</v>
      </c>
      <c r="G13" s="3"/>
      <c r="H13" s="3">
        <v>4600</v>
      </c>
      <c r="I13" s="1">
        <v>22.118574794441507</v>
      </c>
      <c r="K13" s="3">
        <v>453</v>
      </c>
      <c r="L13" s="1">
        <v>9.8478260869565215</v>
      </c>
      <c r="M13" s="3"/>
      <c r="N13" s="556">
        <v>20797</v>
      </c>
      <c r="O13" s="1">
        <v>100</v>
      </c>
      <c r="P13" s="3"/>
      <c r="Q13" s="3">
        <v>2083</v>
      </c>
      <c r="R13" s="1">
        <v>10.015867673222099</v>
      </c>
      <c r="T13" s="33" t="s">
        <v>442</v>
      </c>
      <c r="U13" s="3">
        <v>14671</v>
      </c>
      <c r="V13" s="1">
        <v>77.138650822861351</v>
      </c>
      <c r="X13" s="3">
        <v>1509</v>
      </c>
      <c r="Y13" s="1">
        <v>10.285597437120851</v>
      </c>
      <c r="Z13" s="3"/>
      <c r="AA13" s="3">
        <v>4348</v>
      </c>
      <c r="AB13" s="1">
        <v>22.861349177138653</v>
      </c>
      <c r="AD13" s="3">
        <v>455</v>
      </c>
      <c r="AE13" s="1">
        <v>10.46458141674333</v>
      </c>
      <c r="AF13" s="3"/>
      <c r="AG13" s="3">
        <v>19019</v>
      </c>
      <c r="AH13" s="1">
        <v>100</v>
      </c>
      <c r="AI13" s="3"/>
      <c r="AJ13" s="3">
        <v>1964</v>
      </c>
      <c r="AK13" s="1">
        <v>10.326515589673486</v>
      </c>
      <c r="AM13" s="33" t="s">
        <v>442</v>
      </c>
      <c r="AN13" s="3">
        <v>14671</v>
      </c>
      <c r="AO13" s="1">
        <v>77.138650822861351</v>
      </c>
      <c r="AQ13" s="3">
        <v>1509</v>
      </c>
      <c r="AR13" s="1">
        <v>10.285597437120851</v>
      </c>
      <c r="AS13" s="3"/>
      <c r="AT13" s="3">
        <v>4348</v>
      </c>
      <c r="AU13" s="1">
        <v>22.861349177138653</v>
      </c>
      <c r="AW13" s="3">
        <v>455</v>
      </c>
      <c r="AX13" s="1">
        <v>10.46458141674333</v>
      </c>
      <c r="AY13" s="3"/>
      <c r="AZ13" s="556">
        <v>19019</v>
      </c>
      <c r="BA13" s="1">
        <v>100</v>
      </c>
      <c r="BB13" s="3"/>
      <c r="BC13" s="3">
        <v>1964</v>
      </c>
      <c r="BD13" s="1">
        <v>10.326515589673486</v>
      </c>
    </row>
    <row r="14" spans="1:56" ht="10.15" customHeight="1">
      <c r="A14" s="33" t="s">
        <v>445</v>
      </c>
      <c r="B14" s="3">
        <v>16814</v>
      </c>
      <c r="C14" s="1">
        <v>78.01958145793698</v>
      </c>
      <c r="E14" s="3">
        <v>1677</v>
      </c>
      <c r="F14" s="1">
        <v>9.9738313310336633</v>
      </c>
      <c r="G14" s="3"/>
      <c r="H14" s="3">
        <v>4737</v>
      </c>
      <c r="I14" s="1">
        <v>21.980418542063013</v>
      </c>
      <c r="K14" s="3">
        <v>461</v>
      </c>
      <c r="L14" s="1">
        <v>9.7318978256280353</v>
      </c>
      <c r="M14" s="3"/>
      <c r="N14" s="556">
        <v>21551</v>
      </c>
      <c r="O14" s="1">
        <v>100</v>
      </c>
      <c r="P14" s="3"/>
      <c r="Q14" s="3">
        <v>2138</v>
      </c>
      <c r="R14" s="1">
        <v>9.9206533339520195</v>
      </c>
      <c r="T14" s="33" t="s">
        <v>443</v>
      </c>
      <c r="U14" s="3">
        <v>16197</v>
      </c>
      <c r="V14" s="1">
        <v>77.8814252055585</v>
      </c>
      <c r="X14" s="3">
        <v>1630</v>
      </c>
      <c r="Y14" s="1">
        <v>10.063592023214175</v>
      </c>
      <c r="Z14" s="3"/>
      <c r="AA14" s="3">
        <v>4600</v>
      </c>
      <c r="AB14" s="1">
        <v>22.118574794441507</v>
      </c>
      <c r="AD14" s="3">
        <v>453</v>
      </c>
      <c r="AE14" s="1">
        <v>9.8478260869565215</v>
      </c>
      <c r="AF14" s="3"/>
      <c r="AG14" s="3">
        <v>20797</v>
      </c>
      <c r="AH14" s="1">
        <v>100</v>
      </c>
      <c r="AI14" s="3"/>
      <c r="AJ14" s="3">
        <v>2083</v>
      </c>
      <c r="AK14" s="1">
        <v>10.015867673222099</v>
      </c>
      <c r="AM14" s="33" t="s">
        <v>443</v>
      </c>
      <c r="AN14" s="3">
        <v>16197</v>
      </c>
      <c r="AO14" s="1">
        <v>77.8814252055585</v>
      </c>
      <c r="AQ14" s="3">
        <v>1630</v>
      </c>
      <c r="AR14" s="1">
        <v>10.063592023214175</v>
      </c>
      <c r="AS14" s="3"/>
      <c r="AT14" s="3">
        <v>4600</v>
      </c>
      <c r="AU14" s="1">
        <v>22.118574794441507</v>
      </c>
      <c r="AW14" s="3">
        <v>453</v>
      </c>
      <c r="AX14" s="1">
        <v>9.8478260869565215</v>
      </c>
      <c r="AY14" s="3"/>
      <c r="AZ14" s="556">
        <v>20797</v>
      </c>
      <c r="BA14" s="1">
        <v>100</v>
      </c>
      <c r="BB14" s="3"/>
      <c r="BC14" s="3">
        <v>2083</v>
      </c>
      <c r="BD14" s="1">
        <v>10.015867673222099</v>
      </c>
    </row>
    <row r="15" spans="1:56" ht="10.15" customHeight="1">
      <c r="A15" s="33" t="s">
        <v>446</v>
      </c>
      <c r="B15" s="3">
        <v>16937</v>
      </c>
      <c r="C15" s="1">
        <v>77.607221407624635</v>
      </c>
      <c r="E15" s="3">
        <v>1664</v>
      </c>
      <c r="F15" s="1">
        <v>9.8246442699415493</v>
      </c>
      <c r="G15" s="3"/>
      <c r="H15" s="3">
        <v>4887</v>
      </c>
      <c r="I15" s="1">
        <v>22.392778592375368</v>
      </c>
      <c r="K15" s="3">
        <v>417</v>
      </c>
      <c r="L15" s="1">
        <v>8.532842234499693</v>
      </c>
      <c r="M15" s="3"/>
      <c r="N15" s="556">
        <v>21824</v>
      </c>
      <c r="O15" s="1">
        <v>100</v>
      </c>
      <c r="P15" s="3"/>
      <c r="Q15" s="3">
        <v>2081</v>
      </c>
      <c r="R15" s="1">
        <v>9.5353739002932549</v>
      </c>
      <c r="T15" s="33" t="s">
        <v>445</v>
      </c>
      <c r="U15" s="3">
        <v>16814</v>
      </c>
      <c r="V15" s="1">
        <v>78.01958145793698</v>
      </c>
      <c r="X15" s="3">
        <v>1677</v>
      </c>
      <c r="Y15" s="1">
        <v>9.9738313310336633</v>
      </c>
      <c r="Z15" s="3"/>
      <c r="AA15" s="3">
        <v>4737</v>
      </c>
      <c r="AB15" s="1">
        <v>21.980418542063013</v>
      </c>
      <c r="AD15" s="3">
        <v>461</v>
      </c>
      <c r="AE15" s="1">
        <v>9.7318978256280353</v>
      </c>
      <c r="AF15" s="3"/>
      <c r="AG15" s="3">
        <v>21551</v>
      </c>
      <c r="AH15" s="1">
        <v>100</v>
      </c>
      <c r="AI15" s="3"/>
      <c r="AJ15" s="3">
        <v>2138</v>
      </c>
      <c r="AK15" s="1">
        <v>9.9206533339520195</v>
      </c>
      <c r="AM15" s="33" t="s">
        <v>445</v>
      </c>
      <c r="AN15" s="3">
        <v>16814</v>
      </c>
      <c r="AO15" s="1">
        <v>78.01958145793698</v>
      </c>
      <c r="AQ15" s="3">
        <v>1677</v>
      </c>
      <c r="AR15" s="1">
        <v>9.9738313310336633</v>
      </c>
      <c r="AS15" s="3"/>
      <c r="AT15" s="3">
        <v>4737</v>
      </c>
      <c r="AU15" s="1">
        <v>21.980418542063013</v>
      </c>
      <c r="AW15" s="3">
        <v>461</v>
      </c>
      <c r="AX15" s="1">
        <v>9.7318978256280353</v>
      </c>
      <c r="AY15" s="3"/>
      <c r="AZ15" s="556">
        <v>21551</v>
      </c>
      <c r="BA15" s="1">
        <v>100</v>
      </c>
      <c r="BB15" s="3"/>
      <c r="BC15" s="3">
        <v>2138</v>
      </c>
      <c r="BD15" s="1">
        <v>9.9206533339520195</v>
      </c>
    </row>
    <row r="16" spans="1:56" s="49" customFormat="1" ht="9.75" customHeight="1">
      <c r="A16" s="33">
        <v>2024</v>
      </c>
      <c r="B16" s="3">
        <v>17087</v>
      </c>
      <c r="C16" s="1">
        <v>76.926886367729153</v>
      </c>
      <c r="D16" s="13"/>
      <c r="E16" s="3">
        <v>1660</v>
      </c>
      <c r="F16" s="1">
        <v>9.7149880025750583</v>
      </c>
      <c r="G16" s="3"/>
      <c r="H16" s="3">
        <v>5125</v>
      </c>
      <c r="I16" s="1">
        <v>23.073113632270843</v>
      </c>
      <c r="J16" s="13"/>
      <c r="K16" s="3">
        <v>386</v>
      </c>
      <c r="L16" s="1">
        <v>7.5317073170731703</v>
      </c>
      <c r="M16" s="3"/>
      <c r="N16" s="556">
        <v>22212</v>
      </c>
      <c r="O16" s="1">
        <v>100</v>
      </c>
      <c r="P16" s="3"/>
      <c r="Q16" s="3">
        <v>2046</v>
      </c>
      <c r="R16" s="1">
        <v>9.2112371690977852</v>
      </c>
      <c r="T16" s="33" t="s">
        <v>446</v>
      </c>
      <c r="U16" s="3">
        <v>16937</v>
      </c>
      <c r="V16" s="1">
        <v>77.607221407624635</v>
      </c>
      <c r="W16" s="13"/>
      <c r="X16" s="3">
        <v>1664</v>
      </c>
      <c r="Y16" s="1">
        <v>9.8246442699415493</v>
      </c>
      <c r="Z16" s="3"/>
      <c r="AA16" s="3">
        <v>4887</v>
      </c>
      <c r="AB16" s="1">
        <v>22.392778592375368</v>
      </c>
      <c r="AC16" s="13"/>
      <c r="AD16" s="3">
        <v>417</v>
      </c>
      <c r="AE16" s="1">
        <v>8.532842234499693</v>
      </c>
      <c r="AF16" s="3"/>
      <c r="AG16" s="3">
        <v>21824</v>
      </c>
      <c r="AH16" s="1">
        <v>100</v>
      </c>
      <c r="AI16" s="3"/>
      <c r="AJ16" s="3">
        <v>2081</v>
      </c>
      <c r="AK16" s="1">
        <v>9.5353739002932549</v>
      </c>
      <c r="AM16" s="33" t="s">
        <v>446</v>
      </c>
      <c r="AN16" s="3">
        <v>16937</v>
      </c>
      <c r="AO16" s="1">
        <v>77.607221407624635</v>
      </c>
      <c r="AP16" s="13"/>
      <c r="AQ16" s="3">
        <v>1664</v>
      </c>
      <c r="AR16" s="1">
        <v>9.8246442699415493</v>
      </c>
      <c r="AS16" s="3"/>
      <c r="AT16" s="3">
        <v>4887</v>
      </c>
      <c r="AU16" s="1">
        <v>22.392778592375368</v>
      </c>
      <c r="AV16" s="13"/>
      <c r="AW16" s="3">
        <v>417</v>
      </c>
      <c r="AX16" s="1">
        <v>8.532842234499693</v>
      </c>
      <c r="AY16" s="3"/>
      <c r="AZ16" s="556">
        <v>21824</v>
      </c>
      <c r="BA16" s="1">
        <v>100</v>
      </c>
      <c r="BB16" s="3"/>
      <c r="BC16" s="3">
        <v>2081</v>
      </c>
      <c r="BD16" s="1">
        <v>9.5353739002932549</v>
      </c>
    </row>
    <row r="17" spans="1:61" ht="13.5" customHeight="1">
      <c r="A17" s="16"/>
      <c r="B17" s="5"/>
      <c r="C17" s="5"/>
      <c r="D17" s="26"/>
      <c r="E17" s="5"/>
      <c r="F17" s="5"/>
      <c r="G17" s="5"/>
      <c r="H17" s="5"/>
      <c r="I17" s="5"/>
      <c r="J17" s="26"/>
      <c r="K17" s="5"/>
      <c r="L17" s="26"/>
      <c r="M17" s="26"/>
      <c r="N17" s="557"/>
      <c r="O17" s="27"/>
      <c r="P17" s="26"/>
      <c r="Q17" s="28"/>
      <c r="R17" s="27"/>
      <c r="T17" s="16"/>
      <c r="U17" s="5"/>
      <c r="V17" s="5"/>
      <c r="W17" s="26"/>
      <c r="X17" s="5"/>
      <c r="Y17" s="5"/>
      <c r="Z17" s="5"/>
      <c r="AA17" s="5"/>
      <c r="AB17" s="5"/>
      <c r="AC17" s="26"/>
      <c r="AD17" s="5"/>
      <c r="AE17" s="26"/>
      <c r="AF17" s="26"/>
      <c r="AG17" s="26"/>
      <c r="AH17" s="27"/>
      <c r="AI17" s="26"/>
      <c r="AJ17" s="28"/>
      <c r="AK17" s="27"/>
      <c r="AM17" s="16"/>
      <c r="AN17" s="5"/>
      <c r="AO17" s="5"/>
      <c r="AP17" s="26"/>
      <c r="AQ17" s="5"/>
      <c r="AR17" s="5"/>
      <c r="AS17" s="5"/>
      <c r="AT17" s="5"/>
      <c r="AU17" s="5"/>
      <c r="AV17" s="26"/>
      <c r="AW17" s="5"/>
      <c r="AX17" s="26"/>
      <c r="AY17" s="26"/>
      <c r="AZ17" s="557"/>
      <c r="BA17" s="27"/>
      <c r="BB17" s="26"/>
      <c r="BC17" s="28"/>
      <c r="BD17" s="27"/>
    </row>
    <row r="18" spans="1:61" ht="9.75" customHeight="1">
      <c r="A18" s="23"/>
      <c r="B18" s="744" t="s">
        <v>107</v>
      </c>
      <c r="C18" s="744"/>
      <c r="D18" s="744"/>
      <c r="E18" s="744"/>
      <c r="F18" s="744"/>
      <c r="G18" s="744"/>
      <c r="H18" s="744"/>
      <c r="I18" s="744"/>
      <c r="J18" s="744"/>
      <c r="K18" s="744"/>
      <c r="L18" s="744"/>
      <c r="M18" s="744"/>
      <c r="N18" s="744"/>
      <c r="O18" s="744"/>
      <c r="P18" s="744"/>
      <c r="Q18" s="744"/>
      <c r="R18" s="744"/>
      <c r="T18" s="23"/>
      <c r="U18" s="744" t="s">
        <v>489</v>
      </c>
      <c r="V18" s="744"/>
      <c r="W18" s="744"/>
      <c r="X18" s="744"/>
      <c r="Y18" s="744"/>
      <c r="Z18" s="744"/>
      <c r="AA18" s="744"/>
      <c r="AB18" s="744"/>
      <c r="AC18" s="744"/>
      <c r="AD18" s="744"/>
      <c r="AE18" s="744"/>
      <c r="AF18" s="744"/>
      <c r="AG18" s="744"/>
      <c r="AH18" s="744"/>
      <c r="AI18" s="744"/>
      <c r="AJ18" s="744"/>
      <c r="AK18" s="744"/>
      <c r="AM18" s="23"/>
      <c r="AN18" s="744" t="s">
        <v>489</v>
      </c>
      <c r="AO18" s="744"/>
      <c r="AP18" s="744"/>
      <c r="AQ18" s="744"/>
      <c r="AR18" s="744"/>
      <c r="AS18" s="744"/>
      <c r="AT18" s="744"/>
      <c r="AU18" s="744"/>
      <c r="AV18" s="744"/>
      <c r="AW18" s="744"/>
      <c r="AX18" s="744"/>
      <c r="AY18" s="744"/>
      <c r="AZ18" s="744"/>
      <c r="BA18" s="744"/>
      <c r="BB18" s="744"/>
      <c r="BC18" s="744"/>
      <c r="BD18" s="744"/>
    </row>
    <row r="19" spans="1:61" ht="3" customHeight="1">
      <c r="A19" s="16"/>
      <c r="B19" s="17"/>
      <c r="C19" s="17"/>
      <c r="D19" s="17"/>
      <c r="E19" s="17"/>
      <c r="F19" s="17"/>
      <c r="G19" s="17"/>
      <c r="H19" s="17"/>
      <c r="I19" s="17"/>
      <c r="J19" s="17"/>
      <c r="K19" s="17"/>
      <c r="L19" s="17"/>
      <c r="M19" s="17"/>
      <c r="N19" s="555"/>
      <c r="P19" s="17"/>
      <c r="T19" s="16"/>
      <c r="U19" s="17"/>
      <c r="V19" s="17"/>
      <c r="W19" s="17"/>
      <c r="X19" s="17"/>
      <c r="Y19" s="17"/>
      <c r="Z19" s="17"/>
      <c r="AA19" s="17"/>
      <c r="AB19" s="17"/>
      <c r="AC19" s="17"/>
      <c r="AD19" s="17"/>
      <c r="AE19" s="17"/>
      <c r="AF19" s="17"/>
      <c r="AG19" s="17"/>
      <c r="AI19" s="17"/>
      <c r="AM19" s="16"/>
      <c r="AN19" s="17"/>
      <c r="AO19" s="17"/>
      <c r="AP19" s="17"/>
      <c r="AQ19" s="17"/>
      <c r="AR19" s="17"/>
      <c r="AS19" s="17"/>
      <c r="AT19" s="17"/>
      <c r="AU19" s="17"/>
      <c r="AV19" s="17"/>
      <c r="AW19" s="17"/>
      <c r="AX19" s="17"/>
      <c r="AY19" s="17"/>
      <c r="AZ19" s="555"/>
      <c r="BB19" s="17"/>
    </row>
    <row r="20" spans="1:61" ht="10.15" customHeight="1">
      <c r="A20" s="23"/>
      <c r="B20" s="744" t="s">
        <v>490</v>
      </c>
      <c r="C20" s="744"/>
      <c r="D20" s="744"/>
      <c r="E20" s="744"/>
      <c r="F20" s="744"/>
      <c r="G20" s="744"/>
      <c r="H20" s="744"/>
      <c r="I20" s="744"/>
      <c r="J20" s="744"/>
      <c r="K20" s="744"/>
      <c r="L20" s="744"/>
      <c r="M20" s="744"/>
      <c r="N20" s="744"/>
      <c r="O20" s="744"/>
      <c r="P20" s="744"/>
      <c r="Q20" s="744"/>
      <c r="R20" s="744"/>
      <c r="T20" s="23"/>
      <c r="U20" s="744" t="s">
        <v>490</v>
      </c>
      <c r="V20" s="744"/>
      <c r="W20" s="744"/>
      <c r="X20" s="744"/>
      <c r="Y20" s="744"/>
      <c r="Z20" s="744"/>
      <c r="AA20" s="744"/>
      <c r="AB20" s="744"/>
      <c r="AC20" s="744"/>
      <c r="AD20" s="744"/>
      <c r="AE20" s="744"/>
      <c r="AF20" s="744"/>
      <c r="AG20" s="744"/>
      <c r="AH20" s="744"/>
      <c r="AI20" s="744"/>
      <c r="AJ20" s="744"/>
      <c r="AK20" s="744"/>
      <c r="AM20" s="23"/>
      <c r="AN20" s="744" t="s">
        <v>490</v>
      </c>
      <c r="AO20" s="744"/>
      <c r="AP20" s="744"/>
      <c r="AQ20" s="744"/>
      <c r="AR20" s="744"/>
      <c r="AS20" s="744"/>
      <c r="AT20" s="744"/>
      <c r="AU20" s="744"/>
      <c r="AV20" s="744"/>
      <c r="AW20" s="744"/>
      <c r="AX20" s="744"/>
      <c r="AY20" s="744"/>
      <c r="AZ20" s="744"/>
      <c r="BA20" s="744"/>
      <c r="BB20" s="744"/>
      <c r="BC20" s="744"/>
      <c r="BD20" s="744"/>
      <c r="BF20" s="501"/>
    </row>
    <row r="21" spans="1:61" ht="3" customHeight="1">
      <c r="A21" s="16"/>
      <c r="B21" s="17"/>
      <c r="C21" s="17"/>
      <c r="D21" s="17"/>
      <c r="E21" s="17"/>
      <c r="F21" s="17"/>
      <c r="G21" s="17"/>
      <c r="H21" s="17"/>
      <c r="I21" s="17"/>
      <c r="J21" s="17"/>
      <c r="K21" s="17"/>
      <c r="L21" s="17"/>
      <c r="M21" s="17"/>
      <c r="N21" s="555"/>
      <c r="P21" s="17"/>
      <c r="T21" s="16"/>
      <c r="U21" s="17"/>
      <c r="V21" s="17"/>
      <c r="W21" s="17"/>
      <c r="X21" s="17"/>
      <c r="Y21" s="17"/>
      <c r="Z21" s="17"/>
      <c r="AA21" s="17"/>
      <c r="AB21" s="17"/>
      <c r="AC21" s="17"/>
      <c r="AD21" s="17"/>
      <c r="AE21" s="17"/>
      <c r="AF21" s="17"/>
      <c r="AG21" s="17"/>
      <c r="AI21" s="17"/>
      <c r="AM21" s="16"/>
      <c r="AN21" s="17"/>
      <c r="AO21" s="17"/>
      <c r="AP21" s="17"/>
      <c r="AQ21" s="17"/>
      <c r="AR21" s="17"/>
      <c r="AS21" s="17"/>
      <c r="AT21" s="17"/>
      <c r="AU21" s="17"/>
      <c r="AV21" s="17"/>
      <c r="AW21" s="17"/>
      <c r="AX21" s="17"/>
      <c r="AY21" s="17"/>
      <c r="AZ21" s="555"/>
      <c r="BB21" s="17"/>
      <c r="BF21" s="501"/>
    </row>
    <row r="22" spans="1:61" ht="10.15" customHeight="1">
      <c r="A22" s="13" t="s">
        <v>491</v>
      </c>
      <c r="B22" s="3">
        <v>4283</v>
      </c>
      <c r="C22" s="1">
        <v>78.717147583164859</v>
      </c>
      <c r="D22" s="3"/>
      <c r="E22" s="3">
        <v>477</v>
      </c>
      <c r="F22" s="1">
        <v>11.137053467195891</v>
      </c>
      <c r="G22" s="3"/>
      <c r="H22" s="3">
        <v>1158</v>
      </c>
      <c r="I22" s="1">
        <v>21.282852416835141</v>
      </c>
      <c r="J22" s="3"/>
      <c r="K22" s="3">
        <v>126</v>
      </c>
      <c r="L22" s="1">
        <v>10.880829015544041</v>
      </c>
      <c r="M22" s="3"/>
      <c r="N22" s="556">
        <v>5441</v>
      </c>
      <c r="O22" s="1">
        <v>100</v>
      </c>
      <c r="P22" s="3"/>
      <c r="Q22" s="3">
        <v>603</v>
      </c>
      <c r="R22" s="1">
        <v>11.082521595294983</v>
      </c>
      <c r="T22" s="13" t="s">
        <v>491</v>
      </c>
      <c r="U22" s="3">
        <v>4081</v>
      </c>
      <c r="V22" s="1">
        <v>78.677462887989208</v>
      </c>
      <c r="W22" s="23"/>
      <c r="X22" s="3">
        <v>450</v>
      </c>
      <c r="Y22" s="1">
        <v>11.026709139916688</v>
      </c>
      <c r="Z22" s="3"/>
      <c r="AA22" s="3">
        <v>1106</v>
      </c>
      <c r="AB22" s="1">
        <v>21.322537112010799</v>
      </c>
      <c r="AC22" s="23"/>
      <c r="AD22" s="3">
        <v>135</v>
      </c>
      <c r="AE22" s="1">
        <v>12.206148282097649</v>
      </c>
      <c r="AF22" s="23"/>
      <c r="AG22" s="3">
        <v>5187</v>
      </c>
      <c r="AH22" s="1">
        <v>100</v>
      </c>
      <c r="AI22" s="23"/>
      <c r="AJ22" s="3">
        <v>585</v>
      </c>
      <c r="AK22" s="1">
        <v>11.278195488721805</v>
      </c>
      <c r="AL22" s="276"/>
      <c r="AM22" s="13" t="s">
        <v>491</v>
      </c>
      <c r="AN22" s="3">
        <v>4081</v>
      </c>
      <c r="AO22" s="1">
        <v>78.677462887989208</v>
      </c>
      <c r="AP22" s="23"/>
      <c r="AQ22" s="3">
        <v>450</v>
      </c>
      <c r="AR22" s="1">
        <v>11.026709139916688</v>
      </c>
      <c r="AS22" s="3"/>
      <c r="AT22" s="3">
        <v>1106</v>
      </c>
      <c r="AU22" s="1">
        <v>21.322537112010799</v>
      </c>
      <c r="AV22" s="23"/>
      <c r="AW22" s="3">
        <v>135</v>
      </c>
      <c r="AX22" s="1">
        <v>12.206148282097649</v>
      </c>
      <c r="AY22" s="23"/>
      <c r="AZ22" s="556">
        <v>5187</v>
      </c>
      <c r="BA22" s="1">
        <v>100</v>
      </c>
      <c r="BB22" s="23"/>
      <c r="BC22" s="3">
        <v>585</v>
      </c>
      <c r="BD22" s="1">
        <v>11.278195488721805</v>
      </c>
      <c r="BE22" s="276"/>
      <c r="BF22" s="276"/>
    </row>
    <row r="23" spans="1:61" ht="10.15" customHeight="1">
      <c r="A23" s="29" t="s">
        <v>492</v>
      </c>
      <c r="B23" s="3">
        <v>8220</v>
      </c>
      <c r="C23" s="1">
        <v>75.495958853783989</v>
      </c>
      <c r="D23" s="3"/>
      <c r="E23" s="3">
        <v>784</v>
      </c>
      <c r="F23" s="1">
        <v>9.5377128953771297</v>
      </c>
      <c r="G23" s="3"/>
      <c r="H23" s="3">
        <v>2668</v>
      </c>
      <c r="I23" s="1">
        <v>24.504041146216018</v>
      </c>
      <c r="J23" s="3"/>
      <c r="K23" s="3">
        <v>175</v>
      </c>
      <c r="L23" s="1">
        <v>6.5592203898050965</v>
      </c>
      <c r="M23" s="3"/>
      <c r="N23" s="556">
        <v>10888</v>
      </c>
      <c r="O23" s="1">
        <v>100</v>
      </c>
      <c r="P23" s="3"/>
      <c r="Q23" s="3">
        <v>959</v>
      </c>
      <c r="R23" s="1">
        <v>8.8078618662747985</v>
      </c>
      <c r="T23" s="29" t="s">
        <v>492</v>
      </c>
      <c r="U23" s="3">
        <v>8173</v>
      </c>
      <c r="V23" s="1">
        <v>76.813909774436098</v>
      </c>
      <c r="W23" s="23"/>
      <c r="X23" s="3">
        <v>781</v>
      </c>
      <c r="Y23" s="1">
        <v>9.5558546433378204</v>
      </c>
      <c r="Z23" s="3"/>
      <c r="AA23" s="3">
        <v>2467</v>
      </c>
      <c r="AB23" s="1">
        <v>23.186090225563909</v>
      </c>
      <c r="AC23" s="23"/>
      <c r="AD23" s="3">
        <v>181</v>
      </c>
      <c r="AE23" s="1">
        <v>7.3368463721118768</v>
      </c>
      <c r="AF23" s="23"/>
      <c r="AG23" s="3">
        <v>10640</v>
      </c>
      <c r="AH23" s="1">
        <v>100</v>
      </c>
      <c r="AI23" s="23"/>
      <c r="AJ23" s="3">
        <v>962</v>
      </c>
      <c r="AK23" s="1">
        <v>9.0413533834586453</v>
      </c>
      <c r="AL23" s="276"/>
      <c r="AM23" s="29" t="s">
        <v>492</v>
      </c>
      <c r="AN23" s="3">
        <v>8173</v>
      </c>
      <c r="AO23" s="1">
        <v>76.813909774436098</v>
      </c>
      <c r="AP23" s="23"/>
      <c r="AQ23" s="3">
        <v>781</v>
      </c>
      <c r="AR23" s="1">
        <v>9.5558546433378204</v>
      </c>
      <c r="AS23" s="3"/>
      <c r="AT23" s="3">
        <v>2467</v>
      </c>
      <c r="AU23" s="1">
        <v>23.186090225563909</v>
      </c>
      <c r="AV23" s="23"/>
      <c r="AW23" s="3">
        <v>181</v>
      </c>
      <c r="AX23" s="1">
        <v>7.3368463721118768</v>
      </c>
      <c r="AY23" s="23"/>
      <c r="AZ23" s="556">
        <v>10640</v>
      </c>
      <c r="BA23" s="1">
        <v>100</v>
      </c>
      <c r="BB23" s="23"/>
      <c r="BC23" s="3">
        <v>962</v>
      </c>
      <c r="BD23" s="1">
        <v>9.0413533834586453</v>
      </c>
      <c r="BE23" s="276"/>
      <c r="BF23" s="276"/>
    </row>
    <row r="24" spans="1:61" ht="10.15" customHeight="1">
      <c r="A24" s="29" t="s">
        <v>493</v>
      </c>
      <c r="B24" s="3">
        <v>4584</v>
      </c>
      <c r="C24" s="1">
        <v>77.919428862825086</v>
      </c>
      <c r="D24" s="3"/>
      <c r="E24" s="3">
        <v>399</v>
      </c>
      <c r="F24" s="1">
        <v>8.7041884816753932</v>
      </c>
      <c r="G24" s="3"/>
      <c r="H24" s="3">
        <v>1299</v>
      </c>
      <c r="I24" s="1">
        <v>22.08057113717491</v>
      </c>
      <c r="J24" s="3"/>
      <c r="K24" s="3">
        <v>85</v>
      </c>
      <c r="L24" s="1">
        <v>6.5434949961508853</v>
      </c>
      <c r="M24" s="3"/>
      <c r="N24" s="556">
        <v>5883</v>
      </c>
      <c r="O24" s="1">
        <v>100</v>
      </c>
      <c r="P24" s="3"/>
      <c r="Q24" s="3">
        <v>484</v>
      </c>
      <c r="R24" s="1">
        <v>8.2270950195478498</v>
      </c>
      <c r="T24" s="29" t="s">
        <v>493</v>
      </c>
      <c r="U24" s="3">
        <v>4683</v>
      </c>
      <c r="V24" s="1">
        <v>78.089044522261133</v>
      </c>
      <c r="W24" s="23"/>
      <c r="X24" s="3">
        <v>433</v>
      </c>
      <c r="Y24" s="1">
        <v>9.2462096946401875</v>
      </c>
      <c r="Z24" s="3"/>
      <c r="AA24" s="3">
        <v>1314</v>
      </c>
      <c r="AB24" s="1">
        <v>21.91095547773887</v>
      </c>
      <c r="AC24" s="23"/>
      <c r="AD24" s="3">
        <v>101</v>
      </c>
      <c r="AE24" s="1">
        <v>7.686453576864535</v>
      </c>
      <c r="AF24" s="23"/>
      <c r="AG24" s="3">
        <v>5997</v>
      </c>
      <c r="AH24" s="1">
        <v>100</v>
      </c>
      <c r="AI24" s="23"/>
      <c r="AJ24" s="3">
        <v>534</v>
      </c>
      <c r="AK24" s="1">
        <v>8.9044522261130563</v>
      </c>
      <c r="AL24" s="276"/>
      <c r="AM24" s="29" t="s">
        <v>493</v>
      </c>
      <c r="AN24" s="3">
        <v>4683</v>
      </c>
      <c r="AO24" s="1">
        <v>78.089044522261133</v>
      </c>
      <c r="AP24" s="23"/>
      <c r="AQ24" s="3">
        <v>433</v>
      </c>
      <c r="AR24" s="1">
        <v>9.2462096946401875</v>
      </c>
      <c r="AS24" s="3"/>
      <c r="AT24" s="3">
        <v>1314</v>
      </c>
      <c r="AU24" s="1">
        <v>21.91095547773887</v>
      </c>
      <c r="AV24" s="23"/>
      <c r="AW24" s="3">
        <v>101</v>
      </c>
      <c r="AX24" s="1">
        <v>7.686453576864535</v>
      </c>
      <c r="AY24" s="23"/>
      <c r="AZ24" s="556">
        <v>5997</v>
      </c>
      <c r="BA24" s="1">
        <v>100</v>
      </c>
      <c r="BB24" s="23"/>
      <c r="BC24" s="3">
        <v>534</v>
      </c>
      <c r="BD24" s="1">
        <v>8.9044522261130563</v>
      </c>
      <c r="BE24" s="276"/>
      <c r="BF24" s="276"/>
    </row>
    <row r="25" spans="1:61" ht="9" customHeight="1">
      <c r="A25" s="16"/>
      <c r="B25" s="17"/>
      <c r="C25" s="17"/>
      <c r="D25" s="17"/>
      <c r="E25" s="17"/>
      <c r="F25" s="17"/>
      <c r="G25" s="17"/>
      <c r="H25" s="17"/>
      <c r="I25" s="17"/>
      <c r="J25" s="17"/>
      <c r="K25" s="17"/>
      <c r="L25" s="17"/>
      <c r="M25" s="17"/>
      <c r="N25" s="555"/>
      <c r="P25" s="17"/>
      <c r="T25" s="16"/>
      <c r="U25" s="17"/>
      <c r="V25" s="17"/>
      <c r="W25" s="17"/>
      <c r="X25" s="17"/>
      <c r="Y25" s="17"/>
      <c r="Z25" s="17"/>
      <c r="AA25" s="17"/>
      <c r="AB25" s="17"/>
      <c r="AC25" s="17"/>
      <c r="AD25" s="17"/>
      <c r="AE25" s="17"/>
      <c r="AF25" s="17"/>
      <c r="AG25" s="17"/>
      <c r="AI25" s="17"/>
      <c r="AL25" s="276"/>
      <c r="AM25" s="16"/>
      <c r="AN25" s="17"/>
      <c r="AO25" s="17"/>
      <c r="AP25" s="17"/>
      <c r="AQ25" s="17"/>
      <c r="AR25" s="17"/>
      <c r="AS25" s="17"/>
      <c r="AT25" s="17"/>
      <c r="AU25" s="17"/>
      <c r="AV25" s="17"/>
      <c r="AW25" s="17"/>
      <c r="AX25" s="17"/>
      <c r="AY25" s="17"/>
      <c r="AZ25" s="555"/>
      <c r="BB25" s="17"/>
      <c r="BE25" s="276"/>
      <c r="BF25" s="276"/>
    </row>
    <row r="26" spans="1:61" ht="10.15" customHeight="1">
      <c r="B26" s="744" t="s">
        <v>494</v>
      </c>
      <c r="C26" s="744"/>
      <c r="D26" s="744"/>
      <c r="E26" s="744"/>
      <c r="F26" s="744"/>
      <c r="G26" s="744"/>
      <c r="H26" s="744"/>
      <c r="I26" s="744"/>
      <c r="J26" s="744"/>
      <c r="K26" s="744"/>
      <c r="L26" s="744"/>
      <c r="M26" s="744"/>
      <c r="N26" s="744"/>
      <c r="O26" s="744"/>
      <c r="P26" s="744"/>
      <c r="Q26" s="744"/>
      <c r="R26" s="744"/>
      <c r="S26" s="476"/>
      <c r="T26" s="23"/>
      <c r="U26" s="744" t="s">
        <v>494</v>
      </c>
      <c r="V26" s="744"/>
      <c r="W26" s="744"/>
      <c r="X26" s="744"/>
      <c r="Y26" s="744"/>
      <c r="Z26" s="744"/>
      <c r="AA26" s="744"/>
      <c r="AB26" s="744"/>
      <c r="AC26" s="744"/>
      <c r="AD26" s="744"/>
      <c r="AE26" s="744"/>
      <c r="AF26" s="744"/>
      <c r="AG26" s="744"/>
      <c r="AH26" s="744"/>
      <c r="AI26" s="744"/>
      <c r="AJ26" s="744"/>
      <c r="AK26" s="744"/>
      <c r="AL26" s="276"/>
      <c r="AM26" s="23"/>
      <c r="AN26" s="744" t="s">
        <v>494</v>
      </c>
      <c r="AO26" s="744"/>
      <c r="AP26" s="744"/>
      <c r="AQ26" s="744"/>
      <c r="AR26" s="744"/>
      <c r="AS26" s="744"/>
      <c r="AT26" s="744"/>
      <c r="AU26" s="744"/>
      <c r="AV26" s="744"/>
      <c r="AW26" s="744"/>
      <c r="AX26" s="744"/>
      <c r="AY26" s="744"/>
      <c r="AZ26" s="744"/>
      <c r="BA26" s="744"/>
      <c r="BB26" s="744"/>
      <c r="BC26" s="744"/>
      <c r="BD26" s="744"/>
      <c r="BE26" s="276"/>
      <c r="BF26" s="276"/>
    </row>
    <row r="27" spans="1:61" ht="9" customHeight="1">
      <c r="A27" s="16"/>
      <c r="B27" s="17"/>
      <c r="C27" s="17"/>
      <c r="D27" s="17"/>
      <c r="E27" s="17"/>
      <c r="F27" s="17"/>
      <c r="G27" s="17"/>
      <c r="H27" s="17"/>
      <c r="I27" s="17"/>
      <c r="J27" s="17"/>
      <c r="K27" s="17"/>
      <c r="L27" s="17"/>
      <c r="M27" s="17"/>
      <c r="N27" s="555"/>
      <c r="P27" s="17"/>
      <c r="T27" s="16"/>
      <c r="U27" s="17"/>
      <c r="V27" s="17"/>
      <c r="W27" s="17"/>
      <c r="X27" s="17"/>
      <c r="Y27" s="17"/>
      <c r="Z27" s="17"/>
      <c r="AA27" s="17"/>
      <c r="AB27" s="17"/>
      <c r="AC27" s="17"/>
      <c r="AD27" s="17"/>
      <c r="AE27" s="17"/>
      <c r="AF27" s="17"/>
      <c r="AG27" s="17"/>
      <c r="AI27" s="17"/>
      <c r="AL27" s="276"/>
      <c r="AM27" s="16"/>
      <c r="AN27" s="17"/>
      <c r="AO27" s="17"/>
      <c r="AP27" s="17"/>
      <c r="AQ27" s="17"/>
      <c r="AR27" s="17"/>
      <c r="AS27" s="17"/>
      <c r="AT27" s="17"/>
      <c r="AU27" s="17"/>
      <c r="AV27" s="17"/>
      <c r="AW27" s="17"/>
      <c r="AX27" s="17"/>
      <c r="AY27" s="17"/>
      <c r="AZ27" s="555"/>
      <c r="BB27" s="17"/>
      <c r="BE27" s="276"/>
      <c r="BF27" s="276"/>
      <c r="BI27" s="501"/>
    </row>
    <row r="28" spans="1:61" ht="10.15" customHeight="1">
      <c r="A28" s="13" t="s">
        <v>491</v>
      </c>
      <c r="B28" s="3">
        <v>2094</v>
      </c>
      <c r="C28" s="1">
        <v>82.246661429693631</v>
      </c>
      <c r="D28" s="3"/>
      <c r="E28" s="3">
        <v>285</v>
      </c>
      <c r="F28" s="1">
        <v>13.610315186246419</v>
      </c>
      <c r="G28" s="3"/>
      <c r="H28" s="3">
        <v>452</v>
      </c>
      <c r="I28" s="1">
        <v>17.753338570306362</v>
      </c>
      <c r="J28" s="3"/>
      <c r="K28" s="3">
        <v>47</v>
      </c>
      <c r="L28" s="1">
        <v>10.398230088495575</v>
      </c>
      <c r="M28" s="3"/>
      <c r="N28" s="556">
        <v>2546</v>
      </c>
      <c r="O28" s="1">
        <v>100</v>
      </c>
      <c r="P28" s="3"/>
      <c r="Q28" s="3">
        <v>332</v>
      </c>
      <c r="R28" s="1">
        <v>13.040062843676356</v>
      </c>
      <c r="T28" s="13" t="s">
        <v>491</v>
      </c>
      <c r="U28" s="3">
        <v>1951</v>
      </c>
      <c r="V28" s="1">
        <v>80.987961809879621</v>
      </c>
      <c r="W28" s="23"/>
      <c r="X28" s="3">
        <v>277</v>
      </c>
      <c r="Y28" s="1">
        <v>14.197847257816504</v>
      </c>
      <c r="Z28" s="3"/>
      <c r="AA28" s="3">
        <v>458</v>
      </c>
      <c r="AB28" s="1">
        <v>19.012038190120382</v>
      </c>
      <c r="AC28" s="23"/>
      <c r="AD28" s="3">
        <v>44</v>
      </c>
      <c r="AE28" s="1">
        <v>9.606986899563319</v>
      </c>
      <c r="AF28" s="23"/>
      <c r="AG28" s="3">
        <v>2409</v>
      </c>
      <c r="AH28" s="1">
        <v>100</v>
      </c>
      <c r="AI28" s="23"/>
      <c r="AJ28" s="3">
        <v>321</v>
      </c>
      <c r="AK28" s="1">
        <v>13.325031133250311</v>
      </c>
      <c r="AL28" s="276"/>
      <c r="AM28" s="13" t="s">
        <v>491</v>
      </c>
      <c r="AN28" s="3">
        <v>1951</v>
      </c>
      <c r="AO28" s="1">
        <v>80.987961809879621</v>
      </c>
      <c r="AP28" s="23"/>
      <c r="AQ28" s="3">
        <v>277</v>
      </c>
      <c r="AR28" s="1">
        <v>14.197847257816504</v>
      </c>
      <c r="AS28" s="3"/>
      <c r="AT28" s="3">
        <v>458</v>
      </c>
      <c r="AU28" s="1">
        <v>19.012038190120382</v>
      </c>
      <c r="AV28" s="23"/>
      <c r="AW28" s="3">
        <v>44</v>
      </c>
      <c r="AX28" s="1">
        <v>9.606986899563319</v>
      </c>
      <c r="AY28" s="23"/>
      <c r="AZ28" s="556">
        <v>2409</v>
      </c>
      <c r="BA28" s="1">
        <v>100</v>
      </c>
      <c r="BB28" s="23"/>
      <c r="BC28" s="3">
        <v>321</v>
      </c>
      <c r="BD28" s="1">
        <v>13.325031133250311</v>
      </c>
      <c r="BE28" s="276"/>
      <c r="BF28" s="276"/>
      <c r="BG28" s="276"/>
      <c r="BI28" s="276"/>
    </row>
    <row r="29" spans="1:61" ht="10.15" customHeight="1">
      <c r="A29" s="29" t="s">
        <v>492</v>
      </c>
      <c r="B29" s="3">
        <v>6165</v>
      </c>
      <c r="C29" s="1">
        <v>76.40351964307844</v>
      </c>
      <c r="D29" s="3"/>
      <c r="E29" s="3">
        <v>662</v>
      </c>
      <c r="F29" s="1">
        <v>10.738037307380372</v>
      </c>
      <c r="G29" s="3"/>
      <c r="H29" s="3">
        <v>1904</v>
      </c>
      <c r="I29" s="1">
        <v>23.59648035692155</v>
      </c>
      <c r="J29" s="3"/>
      <c r="K29" s="3">
        <v>136</v>
      </c>
      <c r="L29" s="1">
        <v>7.1428571428571423</v>
      </c>
      <c r="M29" s="3"/>
      <c r="N29" s="556">
        <v>8069</v>
      </c>
      <c r="O29" s="1">
        <v>100</v>
      </c>
      <c r="P29" s="3"/>
      <c r="Q29" s="3">
        <v>798</v>
      </c>
      <c r="R29" s="1">
        <v>9.8897013260627098</v>
      </c>
      <c r="T29" s="29" t="s">
        <v>492</v>
      </c>
      <c r="U29" s="3">
        <v>5944</v>
      </c>
      <c r="V29" s="1">
        <v>77.841801990570985</v>
      </c>
      <c r="W29" s="23"/>
      <c r="X29" s="3">
        <v>637</v>
      </c>
      <c r="Y29" s="1">
        <v>10.716689098250336</v>
      </c>
      <c r="Z29" s="3"/>
      <c r="AA29" s="3">
        <v>1692</v>
      </c>
      <c r="AB29" s="1">
        <v>22.158198009429022</v>
      </c>
      <c r="AC29" s="23"/>
      <c r="AD29" s="3">
        <v>138</v>
      </c>
      <c r="AE29" s="1">
        <v>8.1560283687943276</v>
      </c>
      <c r="AF29" s="23"/>
      <c r="AG29" s="3">
        <v>7636</v>
      </c>
      <c r="AH29" s="1">
        <v>100</v>
      </c>
      <c r="AI29" s="23"/>
      <c r="AJ29" s="3">
        <v>775</v>
      </c>
      <c r="AK29" s="1">
        <v>10.149292823467784</v>
      </c>
      <c r="AL29" s="276"/>
      <c r="AM29" s="29" t="s">
        <v>492</v>
      </c>
      <c r="AN29" s="3">
        <v>5944</v>
      </c>
      <c r="AO29" s="1">
        <v>77.841801990570985</v>
      </c>
      <c r="AP29" s="23"/>
      <c r="AQ29" s="3">
        <v>637</v>
      </c>
      <c r="AR29" s="1">
        <v>10.716689098250336</v>
      </c>
      <c r="AS29" s="3"/>
      <c r="AT29" s="3">
        <v>1692</v>
      </c>
      <c r="AU29" s="1">
        <v>22.158198009429022</v>
      </c>
      <c r="AV29" s="23"/>
      <c r="AW29" s="3">
        <v>138</v>
      </c>
      <c r="AX29" s="1">
        <v>8.1560283687943276</v>
      </c>
      <c r="AY29" s="23"/>
      <c r="AZ29" s="556">
        <v>7636</v>
      </c>
      <c r="BA29" s="1">
        <v>100</v>
      </c>
      <c r="BB29" s="23"/>
      <c r="BC29" s="3">
        <v>775</v>
      </c>
      <c r="BD29" s="1">
        <v>10.149292823467784</v>
      </c>
      <c r="BE29" s="276"/>
      <c r="BF29" s="276"/>
      <c r="BG29" s="276"/>
      <c r="BI29" s="276"/>
    </row>
    <row r="30" spans="1:61" ht="10.15" customHeight="1">
      <c r="A30" s="29" t="s">
        <v>493</v>
      </c>
      <c r="B30" s="3">
        <v>8828</v>
      </c>
      <c r="C30" s="1">
        <v>76.123135293610417</v>
      </c>
      <c r="D30" s="3"/>
      <c r="E30" s="3">
        <v>713</v>
      </c>
      <c r="F30" s="1">
        <v>8.0765745355686445</v>
      </c>
      <c r="G30" s="3"/>
      <c r="H30" s="3">
        <v>2769</v>
      </c>
      <c r="I30" s="1">
        <v>23.876864706389583</v>
      </c>
      <c r="J30" s="3"/>
      <c r="K30" s="3">
        <v>203</v>
      </c>
      <c r="L30" s="1">
        <v>7.3311664860960635</v>
      </c>
      <c r="M30" s="3"/>
      <c r="N30" s="556">
        <v>11597</v>
      </c>
      <c r="O30" s="1">
        <v>100</v>
      </c>
      <c r="P30" s="3"/>
      <c r="Q30" s="3">
        <v>916</v>
      </c>
      <c r="R30" s="1">
        <v>7.8985944640855399</v>
      </c>
      <c r="T30" s="29" t="s">
        <v>493</v>
      </c>
      <c r="U30" s="3">
        <v>9042</v>
      </c>
      <c r="V30" s="1">
        <v>76.763732065540367</v>
      </c>
      <c r="W30" s="23"/>
      <c r="X30" s="3">
        <v>750</v>
      </c>
      <c r="Y30" s="1">
        <v>8.2946250829462507</v>
      </c>
      <c r="Z30" s="3"/>
      <c r="AA30" s="3">
        <v>2737</v>
      </c>
      <c r="AB30" s="1">
        <v>23.236267934459633</v>
      </c>
      <c r="AC30" s="23"/>
      <c r="AD30" s="3">
        <v>235</v>
      </c>
      <c r="AE30" s="1">
        <v>8.5860431128973325</v>
      </c>
      <c r="AF30" s="23"/>
      <c r="AG30" s="3">
        <v>11779</v>
      </c>
      <c r="AH30" s="1">
        <v>100</v>
      </c>
      <c r="AI30" s="23"/>
      <c r="AJ30" s="3">
        <v>985</v>
      </c>
      <c r="AK30" s="1">
        <v>8.3623397571950093</v>
      </c>
      <c r="AL30" s="276"/>
      <c r="AM30" s="29" t="s">
        <v>493</v>
      </c>
      <c r="AN30" s="3">
        <v>9042</v>
      </c>
      <c r="AO30" s="1">
        <v>76.763732065540367</v>
      </c>
      <c r="AP30" s="23"/>
      <c r="AQ30" s="3">
        <v>750</v>
      </c>
      <c r="AR30" s="1">
        <v>8.2946250829462507</v>
      </c>
      <c r="AS30" s="3"/>
      <c r="AT30" s="3">
        <v>2737</v>
      </c>
      <c r="AU30" s="1">
        <v>23.236267934459633</v>
      </c>
      <c r="AV30" s="23"/>
      <c r="AW30" s="3">
        <v>235</v>
      </c>
      <c r="AX30" s="1">
        <v>8.5860431128973325</v>
      </c>
      <c r="AY30" s="23"/>
      <c r="AZ30" s="556">
        <v>11779</v>
      </c>
      <c r="BA30" s="1">
        <v>100</v>
      </c>
      <c r="BB30" s="23"/>
      <c r="BC30" s="3">
        <v>985</v>
      </c>
      <c r="BD30" s="1">
        <v>8.3623397571950093</v>
      </c>
      <c r="BE30" s="276"/>
      <c r="BF30" s="276"/>
      <c r="BG30" s="276"/>
      <c r="BI30" s="276"/>
    </row>
    <row r="31" spans="1:61" ht="15" customHeight="1">
      <c r="A31" s="16"/>
      <c r="B31" s="3"/>
      <c r="C31" s="3"/>
      <c r="D31" s="3"/>
      <c r="E31" s="3"/>
      <c r="F31" s="3"/>
      <c r="G31" s="3"/>
      <c r="H31" s="3"/>
      <c r="I31" s="3"/>
      <c r="J31" s="3"/>
      <c r="K31" s="3"/>
      <c r="L31" s="3"/>
      <c r="M31" s="3"/>
      <c r="N31" s="556"/>
      <c r="O31" s="3"/>
      <c r="P31" s="3"/>
      <c r="Q31" s="3"/>
      <c r="R31" s="27"/>
      <c r="T31" s="16"/>
      <c r="U31" s="5"/>
      <c r="V31" s="5"/>
      <c r="W31" s="26"/>
      <c r="X31" s="5"/>
      <c r="Y31" s="5"/>
      <c r="Z31" s="5"/>
      <c r="AA31" s="5"/>
      <c r="AB31" s="5"/>
      <c r="AC31" s="26"/>
      <c r="AD31" s="5"/>
      <c r="AE31" s="26"/>
      <c r="AF31" s="26"/>
      <c r="AG31" s="26"/>
      <c r="AH31" s="27"/>
      <c r="AI31" s="26"/>
      <c r="AJ31" s="28"/>
      <c r="AK31" s="27"/>
      <c r="AL31" s="276"/>
      <c r="AM31" s="16"/>
      <c r="AN31" s="5"/>
      <c r="AO31" s="5"/>
      <c r="AP31" s="26"/>
      <c r="AQ31" s="5"/>
      <c r="AR31" s="5"/>
      <c r="AS31" s="5"/>
      <c r="AT31" s="5"/>
      <c r="AU31" s="5"/>
      <c r="AV31" s="26"/>
      <c r="AW31" s="5"/>
      <c r="AX31" s="26"/>
      <c r="AY31" s="26"/>
      <c r="AZ31" s="557"/>
      <c r="BA31" s="27"/>
      <c r="BB31" s="26"/>
      <c r="BC31" s="28"/>
      <c r="BD31" s="27"/>
      <c r="BE31" s="276"/>
      <c r="BF31" s="276"/>
      <c r="BG31" s="276"/>
      <c r="BI31" s="501"/>
    </row>
    <row r="32" spans="1:61" ht="14.25" customHeight="1">
      <c r="B32" s="744" t="s">
        <v>495</v>
      </c>
      <c r="C32" s="744"/>
      <c r="D32" s="744"/>
      <c r="E32" s="744"/>
      <c r="F32" s="744"/>
      <c r="G32" s="744"/>
      <c r="H32" s="744"/>
      <c r="I32" s="744"/>
      <c r="J32" s="744"/>
      <c r="K32" s="744"/>
      <c r="L32" s="744"/>
      <c r="M32" s="744"/>
      <c r="N32" s="744"/>
      <c r="O32" s="744"/>
      <c r="P32" s="744"/>
      <c r="Q32" s="744"/>
      <c r="R32" s="744"/>
      <c r="T32" s="23"/>
      <c r="U32" s="744" t="s">
        <v>495</v>
      </c>
      <c r="V32" s="744"/>
      <c r="W32" s="744"/>
      <c r="X32" s="744"/>
      <c r="Y32" s="744"/>
      <c r="Z32" s="744"/>
      <c r="AA32" s="744"/>
      <c r="AB32" s="744"/>
      <c r="AC32" s="744"/>
      <c r="AD32" s="744"/>
      <c r="AE32" s="744"/>
      <c r="AF32" s="744"/>
      <c r="AG32" s="744"/>
      <c r="AH32" s="744"/>
      <c r="AI32" s="744"/>
      <c r="AJ32" s="744"/>
      <c r="AK32" s="744"/>
      <c r="AL32" s="276"/>
      <c r="AM32" s="23"/>
      <c r="AN32" s="744" t="s">
        <v>495</v>
      </c>
      <c r="AO32" s="744"/>
      <c r="AP32" s="744"/>
      <c r="AQ32" s="744"/>
      <c r="AR32" s="744"/>
      <c r="AS32" s="744"/>
      <c r="AT32" s="744"/>
      <c r="AU32" s="744"/>
      <c r="AV32" s="744"/>
      <c r="AW32" s="744"/>
      <c r="AX32" s="744"/>
      <c r="AY32" s="744"/>
      <c r="AZ32" s="744"/>
      <c r="BA32" s="744"/>
      <c r="BB32" s="744"/>
      <c r="BC32" s="744"/>
      <c r="BD32" s="744"/>
      <c r="BE32" s="276"/>
      <c r="BF32" s="276"/>
      <c r="BG32" s="276"/>
      <c r="BI32" s="501"/>
    </row>
    <row r="33" spans="1:61" ht="17.25" customHeight="1">
      <c r="B33" s="3"/>
      <c r="C33" s="3"/>
      <c r="D33" s="23"/>
      <c r="E33" s="3"/>
      <c r="F33" s="3"/>
      <c r="G33" s="3"/>
      <c r="H33" s="3"/>
      <c r="I33" s="3"/>
      <c r="J33" s="23"/>
      <c r="K33" s="3"/>
      <c r="L33" s="23"/>
      <c r="M33" s="23"/>
      <c r="N33" s="558"/>
      <c r="O33" s="27"/>
      <c r="P33" s="23"/>
      <c r="Q33" s="28"/>
      <c r="R33" s="27"/>
      <c r="U33" s="3"/>
      <c r="V33" s="3"/>
      <c r="W33" s="23"/>
      <c r="X33" s="3"/>
      <c r="Y33" s="3"/>
      <c r="Z33" s="3"/>
      <c r="AA33" s="3"/>
      <c r="AB33" s="3"/>
      <c r="AC33" s="23"/>
      <c r="AD33" s="3"/>
      <c r="AE33" s="23"/>
      <c r="AF33" s="23"/>
      <c r="AG33" s="23"/>
      <c r="AH33" s="27"/>
      <c r="AI33" s="23"/>
      <c r="AJ33" s="28"/>
      <c r="AK33" s="27"/>
      <c r="AL33" s="276"/>
      <c r="AN33" s="3"/>
      <c r="AO33" s="3"/>
      <c r="AP33" s="23"/>
      <c r="AQ33" s="3"/>
      <c r="AR33" s="3"/>
      <c r="AS33" s="3"/>
      <c r="AT33" s="3"/>
      <c r="AU33" s="3"/>
      <c r="AV33" s="23"/>
      <c r="AW33" s="3"/>
      <c r="AX33" s="23"/>
      <c r="AY33" s="23"/>
      <c r="AZ33" s="558"/>
      <c r="BA33" s="27"/>
      <c r="BB33" s="23"/>
      <c r="BC33" s="28"/>
      <c r="BD33" s="27"/>
      <c r="BE33" s="276"/>
      <c r="BF33" s="276"/>
      <c r="BG33" s="276"/>
      <c r="BI33" s="501"/>
    </row>
    <row r="34" spans="1:61" ht="33" customHeight="1">
      <c r="A34" s="33" t="s">
        <v>496</v>
      </c>
      <c r="B34" s="3">
        <v>6114</v>
      </c>
      <c r="C34" s="1">
        <v>78.364521917457068</v>
      </c>
      <c r="D34" s="23"/>
      <c r="E34" s="3">
        <v>699</v>
      </c>
      <c r="F34" s="1">
        <v>11.432777232580962</v>
      </c>
      <c r="G34" s="3"/>
      <c r="H34" s="3">
        <v>1688</v>
      </c>
      <c r="I34" s="1">
        <v>21.635478082542939</v>
      </c>
      <c r="J34" s="23"/>
      <c r="K34" s="3">
        <v>115</v>
      </c>
      <c r="L34" s="1">
        <v>6.8127962085308056</v>
      </c>
      <c r="M34" s="23"/>
      <c r="N34" s="556">
        <v>7802</v>
      </c>
      <c r="O34" s="1">
        <v>100</v>
      </c>
      <c r="P34" s="23"/>
      <c r="Q34" s="13">
        <v>814</v>
      </c>
      <c r="R34" s="1">
        <v>10.433222250704947</v>
      </c>
      <c r="T34" s="33" t="s">
        <v>496</v>
      </c>
      <c r="U34" s="3">
        <v>5983</v>
      </c>
      <c r="V34" s="1">
        <v>78.558298319327733</v>
      </c>
      <c r="W34" s="23"/>
      <c r="X34" s="3">
        <v>643</v>
      </c>
      <c r="Y34" s="1">
        <v>10.747116831021227</v>
      </c>
      <c r="Z34" s="3"/>
      <c r="AA34" s="3">
        <v>1633</v>
      </c>
      <c r="AB34" s="1">
        <v>21.441701680672267</v>
      </c>
      <c r="AC34" s="23"/>
      <c r="AD34" s="3">
        <v>118</v>
      </c>
      <c r="AE34" s="1">
        <v>7.2259644825474592</v>
      </c>
      <c r="AF34" s="23"/>
      <c r="AG34" s="3">
        <v>7616</v>
      </c>
      <c r="AH34" s="1">
        <v>100</v>
      </c>
      <c r="AI34" s="23"/>
      <c r="AJ34" s="3">
        <v>761</v>
      </c>
      <c r="AK34" s="1">
        <v>9.9921218487394956</v>
      </c>
      <c r="AL34" s="276"/>
      <c r="AM34" s="33" t="s">
        <v>496</v>
      </c>
      <c r="AN34" s="3">
        <v>5983</v>
      </c>
      <c r="AO34" s="1">
        <v>78.558298319327733</v>
      </c>
      <c r="AP34" s="23"/>
      <c r="AQ34" s="3">
        <v>643</v>
      </c>
      <c r="AR34" s="1">
        <v>10.747116831021227</v>
      </c>
      <c r="AS34" s="3"/>
      <c r="AT34" s="3">
        <v>1633</v>
      </c>
      <c r="AU34" s="1">
        <v>21.441701680672267</v>
      </c>
      <c r="AV34" s="23"/>
      <c r="AW34" s="3">
        <v>118</v>
      </c>
      <c r="AX34" s="1">
        <v>7.2259644825474592</v>
      </c>
      <c r="AY34" s="23"/>
      <c r="AZ34" s="556">
        <v>7616</v>
      </c>
      <c r="BA34" s="1">
        <v>100</v>
      </c>
      <c r="BB34" s="23"/>
      <c r="BC34" s="3">
        <v>761</v>
      </c>
      <c r="BD34" s="1">
        <v>9.9921218487394956</v>
      </c>
      <c r="BE34" s="276"/>
      <c r="BF34" s="276"/>
      <c r="BG34" s="276"/>
      <c r="BI34" s="501"/>
    </row>
    <row r="35" spans="1:61" ht="9" customHeight="1">
      <c r="A35" s="25" t="s">
        <v>497</v>
      </c>
      <c r="B35" s="3">
        <v>10973</v>
      </c>
      <c r="C35" s="1">
        <v>76.14850798056905</v>
      </c>
      <c r="D35" s="23"/>
      <c r="E35" s="3">
        <v>961</v>
      </c>
      <c r="F35" s="1">
        <v>8.757860202314772</v>
      </c>
      <c r="G35" s="3"/>
      <c r="H35" s="3">
        <v>3437</v>
      </c>
      <c r="I35" s="1">
        <v>23.85149201943095</v>
      </c>
      <c r="J35" s="23"/>
      <c r="K35" s="3">
        <v>271</v>
      </c>
      <c r="L35" s="1">
        <v>7.8847832411987202</v>
      </c>
      <c r="M35" s="23"/>
      <c r="N35" s="556">
        <v>14410</v>
      </c>
      <c r="O35" s="1">
        <v>100</v>
      </c>
      <c r="P35" s="23"/>
      <c r="Q35" s="13">
        <v>1232</v>
      </c>
      <c r="R35" s="1">
        <v>8.5496183206106871</v>
      </c>
      <c r="T35" s="25" t="s">
        <v>497</v>
      </c>
      <c r="U35" s="3">
        <v>10954</v>
      </c>
      <c r="V35" s="1">
        <v>77.097409909909913</v>
      </c>
      <c r="W35" s="23"/>
      <c r="X35" s="3">
        <v>1021</v>
      </c>
      <c r="Y35" s="1">
        <v>9.3207960562351655</v>
      </c>
      <c r="Z35" s="3"/>
      <c r="AA35" s="3">
        <v>3254</v>
      </c>
      <c r="AB35" s="1">
        <v>22.90259009009009</v>
      </c>
      <c r="AC35" s="23"/>
      <c r="AD35" s="3">
        <v>299</v>
      </c>
      <c r="AE35" s="1">
        <v>9.1886908420405664</v>
      </c>
      <c r="AF35" s="23"/>
      <c r="AG35" s="3">
        <v>14208</v>
      </c>
      <c r="AH35" s="1">
        <v>100</v>
      </c>
      <c r="AI35" s="23"/>
      <c r="AJ35" s="3">
        <v>1320</v>
      </c>
      <c r="AK35" s="1">
        <v>9.2905405405405403</v>
      </c>
      <c r="AL35" s="276"/>
      <c r="AM35" s="25" t="s">
        <v>497</v>
      </c>
      <c r="AN35" s="3">
        <v>10954</v>
      </c>
      <c r="AO35" s="1">
        <v>77.097409909909913</v>
      </c>
      <c r="AP35" s="23"/>
      <c r="AQ35" s="3">
        <v>1021</v>
      </c>
      <c r="AR35" s="1">
        <v>9.3207960562351655</v>
      </c>
      <c r="AS35" s="3"/>
      <c r="AT35" s="3">
        <v>3254</v>
      </c>
      <c r="AU35" s="1">
        <v>22.90259009009009</v>
      </c>
      <c r="AV35" s="23"/>
      <c r="AW35" s="3">
        <v>299</v>
      </c>
      <c r="AX35" s="1">
        <v>9.1886908420405664</v>
      </c>
      <c r="AY35" s="23"/>
      <c r="AZ35" s="556">
        <v>14208</v>
      </c>
      <c r="BA35" s="1">
        <v>100</v>
      </c>
      <c r="BB35" s="23"/>
      <c r="BC35" s="3">
        <v>1320</v>
      </c>
      <c r="BD35" s="1">
        <v>9.2905405405405403</v>
      </c>
      <c r="BE35" s="276"/>
      <c r="BF35" s="276"/>
      <c r="BG35" s="276"/>
      <c r="BI35" s="501"/>
    </row>
    <row r="36" spans="1:61" ht="9.75" customHeight="1">
      <c r="B36" s="3"/>
      <c r="C36" s="1"/>
      <c r="D36" s="23"/>
      <c r="E36" s="3"/>
      <c r="F36" s="1"/>
      <c r="G36" s="3"/>
      <c r="H36" s="3"/>
      <c r="I36" s="1"/>
      <c r="J36" s="23"/>
      <c r="K36" s="3"/>
      <c r="L36" s="1"/>
      <c r="M36" s="23"/>
      <c r="N36" s="556"/>
      <c r="O36" s="1"/>
      <c r="P36" s="23"/>
      <c r="Q36" s="23"/>
      <c r="R36" s="1"/>
      <c r="U36" s="3"/>
      <c r="V36" s="1"/>
      <c r="W36" s="23"/>
      <c r="X36" s="3"/>
      <c r="Y36" s="1"/>
      <c r="Z36" s="3"/>
      <c r="AA36" s="3"/>
      <c r="AB36" s="1"/>
      <c r="AC36" s="23"/>
      <c r="AD36" s="3"/>
      <c r="AE36" s="1"/>
      <c r="AF36" s="23"/>
      <c r="AG36" s="23"/>
      <c r="AH36" s="1"/>
      <c r="AI36" s="23"/>
      <c r="AJ36" s="23"/>
      <c r="AK36" s="1"/>
      <c r="AL36" s="276"/>
      <c r="AN36" s="3"/>
      <c r="AO36" s="1"/>
      <c r="AP36" s="23"/>
      <c r="AQ36" s="3"/>
      <c r="AR36" s="1"/>
      <c r="AS36" s="3"/>
      <c r="AT36" s="3"/>
      <c r="AU36" s="1"/>
      <c r="AV36" s="23"/>
      <c r="AW36" s="3"/>
      <c r="AX36" s="1"/>
      <c r="AY36" s="23"/>
      <c r="AZ36" s="558"/>
      <c r="BA36" s="1"/>
      <c r="BB36" s="23"/>
      <c r="BC36" s="23"/>
      <c r="BD36" s="1"/>
      <c r="BE36" s="276"/>
      <c r="BF36" s="276"/>
      <c r="BG36" s="276"/>
      <c r="BI36" s="501"/>
    </row>
    <row r="37" spans="1:61" ht="10.15" customHeight="1">
      <c r="A37" s="16" t="s">
        <v>58</v>
      </c>
      <c r="B37" s="5">
        <v>17087</v>
      </c>
      <c r="C37" s="6">
        <v>76.926886367729153</v>
      </c>
      <c r="D37" s="16"/>
      <c r="E37" s="5">
        <v>1660</v>
      </c>
      <c r="F37" s="6">
        <v>9.7149880025750583</v>
      </c>
      <c r="G37" s="16"/>
      <c r="H37" s="5">
        <v>5125</v>
      </c>
      <c r="I37" s="6">
        <v>23.073113632270843</v>
      </c>
      <c r="J37" s="16"/>
      <c r="K37" s="5">
        <v>386</v>
      </c>
      <c r="L37" s="6">
        <v>7.5317073170731703</v>
      </c>
      <c r="M37" s="16"/>
      <c r="N37" s="559">
        <v>22212</v>
      </c>
      <c r="O37" s="6">
        <v>100</v>
      </c>
      <c r="P37" s="16"/>
      <c r="Q37" s="16">
        <v>2046</v>
      </c>
      <c r="R37" s="6">
        <v>9.2112371690977852</v>
      </c>
      <c r="T37" s="16" t="s">
        <v>58</v>
      </c>
      <c r="U37" s="5">
        <v>16937</v>
      </c>
      <c r="V37" s="6">
        <v>77.607221407624635</v>
      </c>
      <c r="W37" s="26"/>
      <c r="X37" s="5">
        <v>1664</v>
      </c>
      <c r="Y37" s="6">
        <v>9.8246442699415493</v>
      </c>
      <c r="Z37" s="5"/>
      <c r="AA37" s="5">
        <v>4887</v>
      </c>
      <c r="AB37" s="6">
        <v>22.392778592375368</v>
      </c>
      <c r="AC37" s="26"/>
      <c r="AD37" s="5">
        <v>417</v>
      </c>
      <c r="AE37" s="6">
        <v>8.532842234499693</v>
      </c>
      <c r="AF37" s="26"/>
      <c r="AG37" s="5">
        <v>21824</v>
      </c>
      <c r="AH37" s="6">
        <v>100</v>
      </c>
      <c r="AI37" s="26"/>
      <c r="AJ37" s="5">
        <v>2081</v>
      </c>
      <c r="AK37" s="6">
        <v>9.5353739002932549</v>
      </c>
      <c r="AL37" s="276"/>
      <c r="AM37" s="16" t="s">
        <v>58</v>
      </c>
      <c r="AN37" s="5">
        <v>16937</v>
      </c>
      <c r="AO37" s="6">
        <v>77.607221407624635</v>
      </c>
      <c r="AP37" s="26"/>
      <c r="AQ37" s="5">
        <v>1664</v>
      </c>
      <c r="AR37" s="6">
        <v>9.8246442699415493</v>
      </c>
      <c r="AS37" s="5"/>
      <c r="AT37" s="5">
        <v>4887</v>
      </c>
      <c r="AU37" s="6">
        <v>22.392778592375368</v>
      </c>
      <c r="AV37" s="26"/>
      <c r="AW37" s="5">
        <v>417</v>
      </c>
      <c r="AX37" s="6">
        <v>8.532842234499693</v>
      </c>
      <c r="AY37" s="26"/>
      <c r="AZ37" s="559">
        <v>21824</v>
      </c>
      <c r="BA37" s="6">
        <v>100</v>
      </c>
      <c r="BB37" s="26"/>
      <c r="BC37" s="5">
        <v>2081</v>
      </c>
      <c r="BD37" s="6">
        <v>9.5353739002932549</v>
      </c>
      <c r="BE37" s="276"/>
      <c r="BF37" s="276"/>
      <c r="BG37" s="276"/>
      <c r="BI37" s="501"/>
    </row>
    <row r="38" spans="1:61" ht="3" customHeight="1">
      <c r="A38" s="20"/>
      <c r="B38" s="20"/>
      <c r="C38" s="20"/>
      <c r="D38" s="20"/>
      <c r="E38" s="21"/>
      <c r="F38" s="20"/>
      <c r="G38" s="20"/>
      <c r="H38" s="20"/>
      <c r="I38" s="20"/>
      <c r="J38" s="20"/>
      <c r="K38" s="20"/>
      <c r="L38" s="20"/>
      <c r="M38" s="20"/>
      <c r="N38" s="560"/>
      <c r="O38" s="20"/>
      <c r="P38" s="20"/>
      <c r="Q38" s="20"/>
      <c r="R38" s="20"/>
      <c r="T38" s="20"/>
      <c r="U38" s="20"/>
      <c r="V38" s="20"/>
      <c r="W38" s="20"/>
      <c r="X38" s="21"/>
      <c r="Y38" s="20"/>
      <c r="Z38" s="20"/>
      <c r="AA38" s="20"/>
      <c r="AB38" s="20"/>
      <c r="AC38" s="20"/>
      <c r="AD38" s="20"/>
      <c r="AE38" s="20"/>
      <c r="AF38" s="20"/>
      <c r="AG38" s="22"/>
      <c r="AH38" s="20"/>
      <c r="AI38" s="20"/>
      <c r="AJ38" s="20"/>
      <c r="AK38" s="20"/>
      <c r="BE38" s="501"/>
      <c r="BG38" s="276"/>
    </row>
    <row r="39" spans="1:61" ht="3" customHeight="1">
      <c r="BE39" s="501"/>
    </row>
    <row r="40" spans="1:61" ht="10.15" customHeight="1">
      <c r="A40" s="706" t="s">
        <v>429</v>
      </c>
      <c r="B40" s="706"/>
      <c r="C40" s="706"/>
      <c r="D40" s="706"/>
      <c r="E40" s="706"/>
      <c r="F40" s="706"/>
      <c r="G40" s="706"/>
      <c r="H40" s="706"/>
      <c r="I40" s="706"/>
      <c r="J40" s="706"/>
      <c r="K40" s="706"/>
      <c r="L40" s="706"/>
      <c r="M40" s="706"/>
      <c r="N40" s="706"/>
      <c r="O40" s="706"/>
      <c r="P40" s="706"/>
      <c r="Q40" s="706"/>
      <c r="R40" s="706"/>
      <c r="S40" s="274"/>
      <c r="T40" s="706" t="s">
        <v>429</v>
      </c>
      <c r="U40" s="706"/>
      <c r="V40" s="706"/>
      <c r="W40" s="706"/>
      <c r="X40" s="706"/>
      <c r="Y40" s="706"/>
      <c r="Z40" s="706"/>
      <c r="AA40" s="706"/>
      <c r="AB40" s="706"/>
      <c r="AC40" s="706"/>
      <c r="AD40" s="706"/>
      <c r="AE40" s="706"/>
      <c r="AF40" s="706"/>
      <c r="AG40" s="706"/>
      <c r="AH40" s="706"/>
      <c r="AI40" s="706"/>
      <c r="AJ40" s="706"/>
      <c r="AK40" s="706"/>
      <c r="BE40" s="501"/>
    </row>
    <row r="41" spans="1:61" ht="43.4" customHeight="1">
      <c r="A41" s="734" t="s">
        <v>498</v>
      </c>
      <c r="B41" s="732"/>
      <c r="C41" s="732"/>
      <c r="D41" s="732"/>
      <c r="E41" s="732"/>
      <c r="F41" s="732"/>
      <c r="G41" s="732"/>
      <c r="H41" s="732"/>
      <c r="I41" s="732"/>
      <c r="J41" s="732"/>
      <c r="K41" s="732"/>
      <c r="L41" s="732"/>
      <c r="M41" s="732"/>
      <c r="N41" s="732"/>
      <c r="O41" s="732"/>
      <c r="P41" s="732"/>
      <c r="Q41" s="732"/>
      <c r="R41" s="732"/>
      <c r="T41" s="734" t="s">
        <v>498</v>
      </c>
      <c r="U41" s="732"/>
      <c r="V41" s="732"/>
      <c r="W41" s="732"/>
      <c r="X41" s="732"/>
      <c r="Y41" s="732"/>
      <c r="Z41" s="732"/>
      <c r="AA41" s="732"/>
      <c r="AB41" s="732"/>
      <c r="AC41" s="732"/>
      <c r="AD41" s="732"/>
      <c r="AE41" s="732"/>
      <c r="AF41" s="732"/>
      <c r="AG41" s="732"/>
      <c r="AH41" s="732"/>
      <c r="AI41" s="732"/>
      <c r="AJ41" s="732"/>
      <c r="AK41" s="732"/>
      <c r="AL41" s="500"/>
      <c r="BE41" s="501"/>
    </row>
    <row r="42" spans="1:61" ht="10.15" customHeight="1">
      <c r="A42" s="732" t="s">
        <v>499</v>
      </c>
      <c r="B42" s="732"/>
      <c r="C42" s="732"/>
      <c r="D42" s="732"/>
      <c r="E42" s="732"/>
      <c r="F42" s="732"/>
      <c r="G42" s="732"/>
      <c r="H42" s="732"/>
      <c r="I42" s="732"/>
      <c r="J42" s="732"/>
      <c r="K42" s="732"/>
      <c r="L42" s="732"/>
      <c r="M42" s="732"/>
      <c r="N42" s="732"/>
      <c r="O42" s="732"/>
      <c r="P42" s="732"/>
      <c r="Q42" s="732"/>
      <c r="R42" s="732"/>
      <c r="T42" s="732" t="s">
        <v>499</v>
      </c>
      <c r="U42" s="732"/>
      <c r="V42" s="732"/>
      <c r="W42" s="732"/>
      <c r="X42" s="732"/>
      <c r="Y42" s="732"/>
      <c r="Z42" s="732"/>
      <c r="AA42" s="732"/>
      <c r="AB42" s="732"/>
      <c r="AC42" s="732"/>
      <c r="AD42" s="732"/>
      <c r="AE42" s="732"/>
      <c r="AF42" s="732"/>
      <c r="AG42" s="732"/>
      <c r="AH42" s="732"/>
      <c r="AI42" s="732"/>
      <c r="AJ42" s="732"/>
      <c r="AK42" s="732"/>
    </row>
    <row r="43" spans="1:61" ht="20.149999999999999" customHeight="1">
      <c r="A43" s="732" t="s">
        <v>500</v>
      </c>
      <c r="B43" s="732"/>
      <c r="C43" s="732"/>
      <c r="D43" s="732"/>
      <c r="E43" s="732"/>
      <c r="F43" s="732"/>
      <c r="G43" s="732"/>
      <c r="H43" s="732"/>
      <c r="I43" s="732"/>
      <c r="J43" s="732"/>
      <c r="K43" s="732"/>
      <c r="L43" s="732"/>
      <c r="M43" s="732"/>
      <c r="N43" s="732"/>
      <c r="O43" s="732"/>
      <c r="P43" s="732"/>
      <c r="Q43" s="732"/>
      <c r="R43" s="732"/>
      <c r="T43" s="732" t="s">
        <v>500</v>
      </c>
      <c r="U43" s="732"/>
      <c r="V43" s="732"/>
      <c r="W43" s="732"/>
      <c r="X43" s="732"/>
      <c r="Y43" s="732"/>
      <c r="Z43" s="732"/>
      <c r="AA43" s="732"/>
      <c r="AB43" s="732"/>
      <c r="AC43" s="732"/>
      <c r="AD43" s="732"/>
      <c r="AE43" s="732"/>
      <c r="AF43" s="732"/>
      <c r="AG43" s="732"/>
      <c r="AH43" s="732"/>
      <c r="AI43" s="732"/>
      <c r="AJ43" s="732"/>
      <c r="AK43" s="732"/>
    </row>
    <row r="44" spans="1:61">
      <c r="A44" s="3"/>
      <c r="B44" s="3"/>
      <c r="C44" s="3"/>
      <c r="D44" s="3"/>
      <c r="E44" s="3"/>
      <c r="F44" s="3"/>
      <c r="G44" s="3"/>
      <c r="H44" s="3"/>
      <c r="I44" s="3"/>
      <c r="J44" s="3"/>
      <c r="K44" s="3"/>
      <c r="L44" s="3"/>
      <c r="M44" s="3"/>
      <c r="N44" s="556"/>
      <c r="O44" s="3"/>
      <c r="P44" s="3"/>
      <c r="Q44" s="3"/>
      <c r="R44" s="3"/>
    </row>
    <row r="45" spans="1:61">
      <c r="A45" s="706"/>
      <c r="B45" s="706"/>
      <c r="C45" s="706"/>
      <c r="D45" s="706"/>
      <c r="E45" s="706"/>
      <c r="F45" s="706"/>
      <c r="G45" s="706"/>
      <c r="H45" s="706"/>
      <c r="I45" s="706"/>
      <c r="J45" s="706"/>
      <c r="K45" s="706"/>
      <c r="L45" s="706"/>
      <c r="M45" s="706"/>
      <c r="N45" s="706"/>
      <c r="O45" s="706"/>
      <c r="P45" s="706"/>
      <c r="Q45" s="706"/>
      <c r="R45" s="706"/>
    </row>
    <row r="46" spans="1:61">
      <c r="A46" s="3"/>
      <c r="B46" s="3"/>
      <c r="C46" s="3"/>
      <c r="D46" s="3"/>
      <c r="E46" s="3"/>
      <c r="F46" s="3"/>
      <c r="G46" s="3"/>
      <c r="H46" s="3"/>
      <c r="I46" s="3"/>
      <c r="J46" s="3"/>
      <c r="K46" s="3"/>
      <c r="L46" s="3"/>
      <c r="M46" s="3"/>
      <c r="N46" s="556"/>
      <c r="O46" s="3"/>
      <c r="P46" s="3"/>
      <c r="Q46" s="3"/>
      <c r="R46" s="3"/>
    </row>
    <row r="47" spans="1:61">
      <c r="A47" s="3"/>
      <c r="B47" s="3"/>
      <c r="C47" s="3"/>
      <c r="D47" s="3"/>
      <c r="E47" s="3"/>
      <c r="F47" s="3"/>
      <c r="G47" s="3"/>
      <c r="H47" s="3"/>
      <c r="I47" s="3"/>
      <c r="J47" s="3"/>
      <c r="K47" s="3"/>
      <c r="L47" s="3"/>
      <c r="M47" s="3"/>
      <c r="O47" s="3"/>
      <c r="P47" s="3"/>
      <c r="Q47" s="3"/>
      <c r="R47" s="3"/>
    </row>
  </sheetData>
  <mergeCells count="62">
    <mergeCell ref="A42:R42"/>
    <mergeCell ref="T42:AK42"/>
    <mergeCell ref="A43:R43"/>
    <mergeCell ref="T43:AK43"/>
    <mergeCell ref="A45:R45"/>
    <mergeCell ref="B32:R32"/>
    <mergeCell ref="U32:AK32"/>
    <mergeCell ref="A40:R40"/>
    <mergeCell ref="T40:AK40"/>
    <mergeCell ref="A41:R41"/>
    <mergeCell ref="T41:AK41"/>
    <mergeCell ref="B18:R18"/>
    <mergeCell ref="U18:AK18"/>
    <mergeCell ref="B20:R20"/>
    <mergeCell ref="U20:AK20"/>
    <mergeCell ref="B26:R26"/>
    <mergeCell ref="U26:AK26"/>
    <mergeCell ref="I9:I10"/>
    <mergeCell ref="AJ9:AK9"/>
    <mergeCell ref="N9:N10"/>
    <mergeCell ref="O9:O10"/>
    <mergeCell ref="Q9:R9"/>
    <mergeCell ref="U9:U10"/>
    <mergeCell ref="V9:V10"/>
    <mergeCell ref="X9:Y9"/>
    <mergeCell ref="AA9:AA10"/>
    <mergeCell ref="AB9:AB10"/>
    <mergeCell ref="AD9:AE9"/>
    <mergeCell ref="AG9:AG10"/>
    <mergeCell ref="AH9:AH10"/>
    <mergeCell ref="BC9:BD9"/>
    <mergeCell ref="K9:L9"/>
    <mergeCell ref="A5:R5"/>
    <mergeCell ref="T5:AK5"/>
    <mergeCell ref="A8:A10"/>
    <mergeCell ref="B8:F8"/>
    <mergeCell ref="H8:L8"/>
    <mergeCell ref="N8:R8"/>
    <mergeCell ref="T8:T10"/>
    <mergeCell ref="U8:Y8"/>
    <mergeCell ref="AA8:AE8"/>
    <mergeCell ref="AG8:AK8"/>
    <mergeCell ref="B9:B10"/>
    <mergeCell ref="C9:C10"/>
    <mergeCell ref="E9:F9"/>
    <mergeCell ref="H9:H10"/>
    <mergeCell ref="AN18:BD18"/>
    <mergeCell ref="AN20:BD20"/>
    <mergeCell ref="AN26:BD26"/>
    <mergeCell ref="AN32:BD32"/>
    <mergeCell ref="AM8:AM10"/>
    <mergeCell ref="AN8:AR8"/>
    <mergeCell ref="AT8:AX8"/>
    <mergeCell ref="AZ8:BD8"/>
    <mergeCell ref="AN9:AN10"/>
    <mergeCell ref="AO9:AO10"/>
    <mergeCell ref="AQ9:AR9"/>
    <mergeCell ref="AT9:AT10"/>
    <mergeCell ref="AU9:AU10"/>
    <mergeCell ref="AW9:AX9"/>
    <mergeCell ref="AZ9:AZ10"/>
    <mergeCell ref="BA9:BA10"/>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03261-6AD1-46C6-AF2D-EC910E6B5770}">
  <sheetPr>
    <pageSetUpPr fitToPage="1"/>
  </sheetPr>
  <dimension ref="A1:J635"/>
  <sheetViews>
    <sheetView zoomScaleNormal="100" workbookViewId="0">
      <selection activeCell="A4" sqref="A4"/>
    </sheetView>
  </sheetViews>
  <sheetFormatPr defaultRowHeight="14.5"/>
  <cols>
    <col min="1" max="1" width="13.453125" customWidth="1"/>
    <col min="2" max="2" width="9.1796875" customWidth="1"/>
    <col min="3" max="3" width="9.1796875" style="179" customWidth="1"/>
    <col min="4" max="5" width="9.1796875" customWidth="1"/>
    <col min="6" max="6" width="0.81640625" customWidth="1"/>
    <col min="7" max="9" width="9.1796875" customWidth="1"/>
    <col min="10" max="10" width="7.81640625" customWidth="1"/>
    <col min="120" max="120" width="12.54296875" customWidth="1"/>
    <col min="121" max="124" width="9.1796875" customWidth="1"/>
    <col min="125" max="125" width="0.81640625" customWidth="1"/>
    <col min="126" max="129" width="9.1796875" customWidth="1"/>
    <col min="376" max="376" width="12.54296875" customWidth="1"/>
    <col min="377" max="380" width="9.1796875" customWidth="1"/>
    <col min="381" max="381" width="0.81640625" customWidth="1"/>
    <col min="382" max="385" width="9.1796875" customWidth="1"/>
    <col min="632" max="632" width="12.54296875" customWidth="1"/>
    <col min="633" max="636" width="9.1796875" customWidth="1"/>
    <col min="637" max="637" width="0.81640625" customWidth="1"/>
    <col min="638" max="641" width="9.1796875" customWidth="1"/>
    <col min="888" max="888" width="12.54296875" customWidth="1"/>
    <col min="889" max="892" width="9.1796875" customWidth="1"/>
    <col min="893" max="893" width="0.81640625" customWidth="1"/>
    <col min="894" max="897" width="9.1796875" customWidth="1"/>
    <col min="1144" max="1144" width="12.54296875" customWidth="1"/>
    <col min="1145" max="1148" width="9.1796875" customWidth="1"/>
    <col min="1149" max="1149" width="0.81640625" customWidth="1"/>
    <col min="1150" max="1153" width="9.1796875" customWidth="1"/>
    <col min="1400" max="1400" width="12.54296875" customWidth="1"/>
    <col min="1401" max="1404" width="9.1796875" customWidth="1"/>
    <col min="1405" max="1405" width="0.81640625" customWidth="1"/>
    <col min="1406" max="1409" width="9.1796875" customWidth="1"/>
    <col min="1656" max="1656" width="12.54296875" customWidth="1"/>
    <col min="1657" max="1660" width="9.1796875" customWidth="1"/>
    <col min="1661" max="1661" width="0.81640625" customWidth="1"/>
    <col min="1662" max="1665" width="9.1796875" customWidth="1"/>
    <col min="1912" max="1912" width="12.54296875" customWidth="1"/>
    <col min="1913" max="1916" width="9.1796875" customWidth="1"/>
    <col min="1917" max="1917" width="0.81640625" customWidth="1"/>
    <col min="1918" max="1921" width="9.1796875" customWidth="1"/>
    <col min="2168" max="2168" width="12.54296875" customWidth="1"/>
    <col min="2169" max="2172" width="9.1796875" customWidth="1"/>
    <col min="2173" max="2173" width="0.81640625" customWidth="1"/>
    <col min="2174" max="2177" width="9.1796875" customWidth="1"/>
    <col min="2424" max="2424" width="12.54296875" customWidth="1"/>
    <col min="2425" max="2428" width="9.1796875" customWidth="1"/>
    <col min="2429" max="2429" width="0.81640625" customWidth="1"/>
    <col min="2430" max="2433" width="9.1796875" customWidth="1"/>
    <col min="2680" max="2680" width="12.54296875" customWidth="1"/>
    <col min="2681" max="2684" width="9.1796875" customWidth="1"/>
    <col min="2685" max="2685" width="0.81640625" customWidth="1"/>
    <col min="2686" max="2689" width="9.1796875" customWidth="1"/>
    <col min="2936" max="2936" width="12.54296875" customWidth="1"/>
    <col min="2937" max="2940" width="9.1796875" customWidth="1"/>
    <col min="2941" max="2941" width="0.81640625" customWidth="1"/>
    <col min="2942" max="2945" width="9.1796875" customWidth="1"/>
    <col min="3192" max="3192" width="12.54296875" customWidth="1"/>
    <col min="3193" max="3196" width="9.1796875" customWidth="1"/>
    <col min="3197" max="3197" width="0.81640625" customWidth="1"/>
    <col min="3198" max="3201" width="9.1796875" customWidth="1"/>
    <col min="3448" max="3448" width="12.54296875" customWidth="1"/>
    <col min="3449" max="3452" width="9.1796875" customWidth="1"/>
    <col min="3453" max="3453" width="0.81640625" customWidth="1"/>
    <col min="3454" max="3457" width="9.1796875" customWidth="1"/>
    <col min="3704" max="3704" width="12.54296875" customWidth="1"/>
    <col min="3705" max="3708" width="9.1796875" customWidth="1"/>
    <col min="3709" max="3709" width="0.81640625" customWidth="1"/>
    <col min="3710" max="3713" width="9.1796875" customWidth="1"/>
    <col min="3960" max="3960" width="12.54296875" customWidth="1"/>
    <col min="3961" max="3964" width="9.1796875" customWidth="1"/>
    <col min="3965" max="3965" width="0.81640625" customWidth="1"/>
    <col min="3966" max="3969" width="9.1796875" customWidth="1"/>
    <col min="4216" max="4216" width="12.54296875" customWidth="1"/>
    <col min="4217" max="4220" width="9.1796875" customWidth="1"/>
    <col min="4221" max="4221" width="0.81640625" customWidth="1"/>
    <col min="4222" max="4225" width="9.1796875" customWidth="1"/>
    <col min="4472" max="4472" width="12.54296875" customWidth="1"/>
    <col min="4473" max="4476" width="9.1796875" customWidth="1"/>
    <col min="4477" max="4477" width="0.81640625" customWidth="1"/>
    <col min="4478" max="4481" width="9.1796875" customWidth="1"/>
    <col min="4728" max="4728" width="12.54296875" customWidth="1"/>
    <col min="4729" max="4732" width="9.1796875" customWidth="1"/>
    <col min="4733" max="4733" width="0.81640625" customWidth="1"/>
    <col min="4734" max="4737" width="9.1796875" customWidth="1"/>
    <col min="4984" max="4984" width="12.54296875" customWidth="1"/>
    <col min="4985" max="4988" width="9.1796875" customWidth="1"/>
    <col min="4989" max="4989" width="0.81640625" customWidth="1"/>
    <col min="4990" max="4993" width="9.1796875" customWidth="1"/>
    <col min="5240" max="5240" width="12.54296875" customWidth="1"/>
    <col min="5241" max="5244" width="9.1796875" customWidth="1"/>
    <col min="5245" max="5245" width="0.81640625" customWidth="1"/>
    <col min="5246" max="5249" width="9.1796875" customWidth="1"/>
    <col min="5496" max="5496" width="12.54296875" customWidth="1"/>
    <col min="5497" max="5500" width="9.1796875" customWidth="1"/>
    <col min="5501" max="5501" width="0.81640625" customWidth="1"/>
    <col min="5502" max="5505" width="9.1796875" customWidth="1"/>
    <col min="5752" max="5752" width="12.54296875" customWidth="1"/>
    <col min="5753" max="5756" width="9.1796875" customWidth="1"/>
    <col min="5757" max="5757" width="0.81640625" customWidth="1"/>
    <col min="5758" max="5761" width="9.1796875" customWidth="1"/>
    <col min="6008" max="6008" width="12.54296875" customWidth="1"/>
    <col min="6009" max="6012" width="9.1796875" customWidth="1"/>
    <col min="6013" max="6013" width="0.81640625" customWidth="1"/>
    <col min="6014" max="6017" width="9.1796875" customWidth="1"/>
    <col min="6264" max="6264" width="12.54296875" customWidth="1"/>
    <col min="6265" max="6268" width="9.1796875" customWidth="1"/>
    <col min="6269" max="6269" width="0.81640625" customWidth="1"/>
    <col min="6270" max="6273" width="9.1796875" customWidth="1"/>
    <col min="6520" max="6520" width="12.54296875" customWidth="1"/>
    <col min="6521" max="6524" width="9.1796875" customWidth="1"/>
    <col min="6525" max="6525" width="0.81640625" customWidth="1"/>
    <col min="6526" max="6529" width="9.1796875" customWidth="1"/>
    <col min="6776" max="6776" width="12.54296875" customWidth="1"/>
    <col min="6777" max="6780" width="9.1796875" customWidth="1"/>
    <col min="6781" max="6781" width="0.81640625" customWidth="1"/>
    <col min="6782" max="6785" width="9.1796875" customWidth="1"/>
    <col min="7032" max="7032" width="12.54296875" customWidth="1"/>
    <col min="7033" max="7036" width="9.1796875" customWidth="1"/>
    <col min="7037" max="7037" width="0.81640625" customWidth="1"/>
    <col min="7038" max="7041" width="9.1796875" customWidth="1"/>
    <col min="7288" max="7288" width="12.54296875" customWidth="1"/>
    <col min="7289" max="7292" width="9.1796875" customWidth="1"/>
    <col min="7293" max="7293" width="0.81640625" customWidth="1"/>
    <col min="7294" max="7297" width="9.1796875" customWidth="1"/>
    <col min="7544" max="7544" width="12.54296875" customWidth="1"/>
    <col min="7545" max="7548" width="9.1796875" customWidth="1"/>
    <col min="7549" max="7549" width="0.81640625" customWidth="1"/>
    <col min="7550" max="7553" width="9.1796875" customWidth="1"/>
    <col min="7800" max="7800" width="12.54296875" customWidth="1"/>
    <col min="7801" max="7804" width="9.1796875" customWidth="1"/>
    <col min="7805" max="7805" width="0.81640625" customWidth="1"/>
    <col min="7806" max="7809" width="9.1796875" customWidth="1"/>
    <col min="8056" max="8056" width="12.54296875" customWidth="1"/>
    <col min="8057" max="8060" width="9.1796875" customWidth="1"/>
    <col min="8061" max="8061" width="0.81640625" customWidth="1"/>
    <col min="8062" max="8065" width="9.1796875" customWidth="1"/>
    <col min="8312" max="8312" width="12.54296875" customWidth="1"/>
    <col min="8313" max="8316" width="9.1796875" customWidth="1"/>
    <col min="8317" max="8317" width="0.81640625" customWidth="1"/>
    <col min="8318" max="8321" width="9.1796875" customWidth="1"/>
    <col min="8568" max="8568" width="12.54296875" customWidth="1"/>
    <col min="8569" max="8572" width="9.1796875" customWidth="1"/>
    <col min="8573" max="8573" width="0.81640625" customWidth="1"/>
    <col min="8574" max="8577" width="9.1796875" customWidth="1"/>
    <col min="8824" max="8824" width="12.54296875" customWidth="1"/>
    <col min="8825" max="8828" width="9.1796875" customWidth="1"/>
    <col min="8829" max="8829" width="0.81640625" customWidth="1"/>
    <col min="8830" max="8833" width="9.1796875" customWidth="1"/>
    <col min="9080" max="9080" width="12.54296875" customWidth="1"/>
    <col min="9081" max="9084" width="9.1796875" customWidth="1"/>
    <col min="9085" max="9085" width="0.81640625" customWidth="1"/>
    <col min="9086" max="9089" width="9.1796875" customWidth="1"/>
    <col min="9336" max="9336" width="12.54296875" customWidth="1"/>
    <col min="9337" max="9340" width="9.1796875" customWidth="1"/>
    <col min="9341" max="9341" width="0.81640625" customWidth="1"/>
    <col min="9342" max="9345" width="9.1796875" customWidth="1"/>
    <col min="9592" max="9592" width="12.54296875" customWidth="1"/>
    <col min="9593" max="9596" width="9.1796875" customWidth="1"/>
    <col min="9597" max="9597" width="0.81640625" customWidth="1"/>
    <col min="9598" max="9601" width="9.1796875" customWidth="1"/>
    <col min="9848" max="9848" width="12.54296875" customWidth="1"/>
    <col min="9849" max="9852" width="9.1796875" customWidth="1"/>
    <col min="9853" max="9853" width="0.81640625" customWidth="1"/>
    <col min="9854" max="9857" width="9.1796875" customWidth="1"/>
    <col min="10104" max="10104" width="12.54296875" customWidth="1"/>
    <col min="10105" max="10108" width="9.1796875" customWidth="1"/>
    <col min="10109" max="10109" width="0.81640625" customWidth="1"/>
    <col min="10110" max="10113" width="9.1796875" customWidth="1"/>
    <col min="10360" max="10360" width="12.54296875" customWidth="1"/>
    <col min="10361" max="10364" width="9.1796875" customWidth="1"/>
    <col min="10365" max="10365" width="0.81640625" customWidth="1"/>
    <col min="10366" max="10369" width="9.1796875" customWidth="1"/>
    <col min="10616" max="10616" width="12.54296875" customWidth="1"/>
    <col min="10617" max="10620" width="9.1796875" customWidth="1"/>
    <col min="10621" max="10621" width="0.81640625" customWidth="1"/>
    <col min="10622" max="10625" width="9.1796875" customWidth="1"/>
    <col min="10872" max="10872" width="12.54296875" customWidth="1"/>
    <col min="10873" max="10876" width="9.1796875" customWidth="1"/>
    <col min="10877" max="10877" width="0.81640625" customWidth="1"/>
    <col min="10878" max="10881" width="9.1796875" customWidth="1"/>
    <col min="11128" max="11128" width="12.54296875" customWidth="1"/>
    <col min="11129" max="11132" width="9.1796875" customWidth="1"/>
    <col min="11133" max="11133" width="0.81640625" customWidth="1"/>
    <col min="11134" max="11137" width="9.1796875" customWidth="1"/>
    <col min="11384" max="11384" width="12.54296875" customWidth="1"/>
    <col min="11385" max="11388" width="9.1796875" customWidth="1"/>
    <col min="11389" max="11389" width="0.81640625" customWidth="1"/>
    <col min="11390" max="11393" width="9.1796875" customWidth="1"/>
    <col min="11640" max="11640" width="12.54296875" customWidth="1"/>
    <col min="11641" max="11644" width="9.1796875" customWidth="1"/>
    <col min="11645" max="11645" width="0.81640625" customWidth="1"/>
    <col min="11646" max="11649" width="9.1796875" customWidth="1"/>
    <col min="11896" max="11896" width="12.54296875" customWidth="1"/>
    <col min="11897" max="11900" width="9.1796875" customWidth="1"/>
    <col min="11901" max="11901" width="0.81640625" customWidth="1"/>
    <col min="11902" max="11905" width="9.1796875" customWidth="1"/>
    <col min="12152" max="12152" width="12.54296875" customWidth="1"/>
    <col min="12153" max="12156" width="9.1796875" customWidth="1"/>
    <col min="12157" max="12157" width="0.81640625" customWidth="1"/>
    <col min="12158" max="12161" width="9.1796875" customWidth="1"/>
    <col min="12408" max="12408" width="12.54296875" customWidth="1"/>
    <col min="12409" max="12412" width="9.1796875" customWidth="1"/>
    <col min="12413" max="12413" width="0.81640625" customWidth="1"/>
    <col min="12414" max="12417" width="9.1796875" customWidth="1"/>
    <col min="12664" max="12664" width="12.54296875" customWidth="1"/>
    <col min="12665" max="12668" width="9.1796875" customWidth="1"/>
    <col min="12669" max="12669" width="0.81640625" customWidth="1"/>
    <col min="12670" max="12673" width="9.1796875" customWidth="1"/>
    <col min="12920" max="12920" width="12.54296875" customWidth="1"/>
    <col min="12921" max="12924" width="9.1796875" customWidth="1"/>
    <col min="12925" max="12925" width="0.81640625" customWidth="1"/>
    <col min="12926" max="12929" width="9.1796875" customWidth="1"/>
    <col min="13176" max="13176" width="12.54296875" customWidth="1"/>
    <col min="13177" max="13180" width="9.1796875" customWidth="1"/>
    <col min="13181" max="13181" width="0.81640625" customWidth="1"/>
    <col min="13182" max="13185" width="9.1796875" customWidth="1"/>
    <col min="13432" max="13432" width="12.54296875" customWidth="1"/>
    <col min="13433" max="13436" width="9.1796875" customWidth="1"/>
    <col min="13437" max="13437" width="0.81640625" customWidth="1"/>
    <col min="13438" max="13441" width="9.1796875" customWidth="1"/>
    <col min="13688" max="13688" width="12.54296875" customWidth="1"/>
    <col min="13689" max="13692" width="9.1796875" customWidth="1"/>
    <col min="13693" max="13693" width="0.81640625" customWidth="1"/>
    <col min="13694" max="13697" width="9.1796875" customWidth="1"/>
    <col min="13944" max="13944" width="12.54296875" customWidth="1"/>
    <col min="13945" max="13948" width="9.1796875" customWidth="1"/>
    <col min="13949" max="13949" width="0.81640625" customWidth="1"/>
    <col min="13950" max="13953" width="9.1796875" customWidth="1"/>
    <col min="14200" max="14200" width="12.54296875" customWidth="1"/>
    <col min="14201" max="14204" width="9.1796875" customWidth="1"/>
    <col min="14205" max="14205" width="0.81640625" customWidth="1"/>
    <col min="14206" max="14209" width="9.1796875" customWidth="1"/>
    <col min="14456" max="14456" width="12.54296875" customWidth="1"/>
    <col min="14457" max="14460" width="9.1796875" customWidth="1"/>
    <col min="14461" max="14461" width="0.81640625" customWidth="1"/>
    <col min="14462" max="14465" width="9.1796875" customWidth="1"/>
    <col min="14712" max="14712" width="12.54296875" customWidth="1"/>
    <col min="14713" max="14716" width="9.1796875" customWidth="1"/>
    <col min="14717" max="14717" width="0.81640625" customWidth="1"/>
    <col min="14718" max="14721" width="9.1796875" customWidth="1"/>
    <col min="14968" max="14968" width="12.54296875" customWidth="1"/>
    <col min="14969" max="14972" width="9.1796875" customWidth="1"/>
    <col min="14973" max="14973" width="0.81640625" customWidth="1"/>
    <col min="14974" max="14977" width="9.1796875" customWidth="1"/>
    <col min="15224" max="15224" width="12.54296875" customWidth="1"/>
    <col min="15225" max="15228" width="9.1796875" customWidth="1"/>
    <col min="15229" max="15229" width="0.81640625" customWidth="1"/>
    <col min="15230" max="15233" width="9.1796875" customWidth="1"/>
    <col min="15480" max="15480" width="12.54296875" customWidth="1"/>
    <col min="15481" max="15484" width="9.1796875" customWidth="1"/>
    <col min="15485" max="15485" width="0.81640625" customWidth="1"/>
    <col min="15486" max="15489" width="9.1796875" customWidth="1"/>
    <col min="15736" max="15736" width="12.54296875" customWidth="1"/>
    <col min="15737" max="15740" width="9.1796875" customWidth="1"/>
    <col min="15741" max="15741" width="0.81640625" customWidth="1"/>
    <col min="15742" max="15745" width="9.1796875" customWidth="1"/>
    <col min="15992" max="15992" width="12.54296875" customWidth="1"/>
    <col min="15993" max="15996" width="9.1796875" customWidth="1"/>
    <col min="15997" max="15997" width="0.81640625" customWidth="1"/>
    <col min="15998" max="16001" width="9.1796875" customWidth="1"/>
  </cols>
  <sheetData>
    <row r="1" spans="1:10" ht="12" customHeight="1"/>
    <row r="2" spans="1:10" ht="12" customHeight="1"/>
    <row r="3" spans="1:10" ht="12" customHeight="1">
      <c r="A3" s="180"/>
    </row>
    <row r="4" spans="1:10" s="159" customFormat="1" ht="12" customHeight="1">
      <c r="A4" s="181" t="s">
        <v>51</v>
      </c>
    </row>
    <row r="5" spans="1:10" s="159" customFormat="1" ht="12" customHeight="1">
      <c r="A5" s="158" t="s">
        <v>2</v>
      </c>
      <c r="B5" s="158"/>
    </row>
    <row r="6" spans="1:10" s="159" customFormat="1" ht="12" customHeight="1">
      <c r="A6" s="284" t="s">
        <v>3</v>
      </c>
      <c r="B6" s="182"/>
      <c r="C6" s="182"/>
      <c r="D6" s="182"/>
      <c r="E6" s="182"/>
      <c r="G6" s="182"/>
      <c r="H6" s="182"/>
      <c r="I6" s="182"/>
      <c r="J6" s="182"/>
    </row>
    <row r="7" spans="1:10" ht="6" customHeight="1">
      <c r="A7" s="285"/>
      <c r="B7" s="162"/>
      <c r="C7" s="162"/>
      <c r="D7" s="162"/>
      <c r="E7" s="162"/>
      <c r="F7" s="163"/>
      <c r="G7" s="163"/>
      <c r="H7" s="162"/>
      <c r="I7" s="162"/>
      <c r="J7" s="162"/>
    </row>
    <row r="8" spans="1:10" ht="12" customHeight="1">
      <c r="A8" s="598" t="s">
        <v>52</v>
      </c>
      <c r="B8" s="600" t="s">
        <v>53</v>
      </c>
      <c r="C8" s="600"/>
      <c r="D8" s="600"/>
      <c r="E8" s="600"/>
      <c r="F8" s="164"/>
      <c r="G8" s="600" t="s">
        <v>54</v>
      </c>
      <c r="H8" s="600"/>
      <c r="I8" s="600"/>
      <c r="J8" s="600"/>
    </row>
    <row r="9" spans="1:10" ht="30" customHeight="1">
      <c r="A9" s="599"/>
      <c r="B9" s="286" t="s">
        <v>55</v>
      </c>
      <c r="C9" s="286" t="s">
        <v>56</v>
      </c>
      <c r="D9" s="286" t="s">
        <v>57</v>
      </c>
      <c r="E9" s="165" t="s">
        <v>58</v>
      </c>
      <c r="F9" s="287"/>
      <c r="G9" s="286" t="s">
        <v>56</v>
      </c>
      <c r="H9" s="286" t="s">
        <v>57</v>
      </c>
      <c r="I9" s="286" t="s">
        <v>59</v>
      </c>
      <c r="J9" s="165" t="s">
        <v>58</v>
      </c>
    </row>
    <row r="10" spans="1:10" ht="3" customHeight="1">
      <c r="A10" s="280"/>
      <c r="B10" s="216"/>
      <c r="C10" s="288"/>
      <c r="D10" s="288"/>
      <c r="E10" s="216"/>
      <c r="F10" s="217"/>
      <c r="G10" s="288"/>
      <c r="H10" s="288"/>
      <c r="I10" s="288"/>
      <c r="J10" s="216"/>
    </row>
    <row r="11" spans="1:10" s="49" customFormat="1" ht="10" customHeight="1">
      <c r="A11" s="280"/>
      <c r="B11" s="601" t="s">
        <v>60</v>
      </c>
      <c r="C11" s="601"/>
      <c r="D11" s="601"/>
      <c r="E11" s="601"/>
      <c r="F11" s="601"/>
      <c r="G11" s="601"/>
      <c r="H11" s="601"/>
      <c r="I11" s="601"/>
      <c r="J11" s="601"/>
    </row>
    <row r="12" spans="1:10" ht="3" customHeight="1">
      <c r="A12" s="168"/>
      <c r="B12" s="162"/>
      <c r="C12" s="162"/>
      <c r="D12" s="162"/>
      <c r="E12" s="162"/>
      <c r="F12" s="162"/>
      <c r="G12" s="162"/>
      <c r="H12" s="162"/>
      <c r="I12" s="162"/>
      <c r="J12" s="162"/>
    </row>
    <row r="13" spans="1:10" s="49" customFormat="1" ht="10" customHeight="1">
      <c r="A13" s="162"/>
      <c r="B13" s="597" t="s">
        <v>61</v>
      </c>
      <c r="C13" s="597"/>
      <c r="D13" s="597"/>
      <c r="E13" s="597"/>
      <c r="F13" s="597"/>
      <c r="G13" s="597"/>
      <c r="H13" s="597"/>
      <c r="I13" s="597"/>
      <c r="J13" s="597"/>
    </row>
    <row r="14" spans="1:10" s="49" customFormat="1" ht="3" customHeight="1">
      <c r="A14" s="162"/>
      <c r="B14" s="164"/>
      <c r="C14" s="164"/>
      <c r="D14" s="164"/>
      <c r="E14" s="164"/>
      <c r="F14" s="164"/>
      <c r="G14" s="164"/>
      <c r="H14" s="164"/>
      <c r="I14" s="164"/>
      <c r="J14" s="164"/>
    </row>
    <row r="15" spans="1:10" s="49" customFormat="1" ht="10" customHeight="1">
      <c r="A15" s="168">
        <v>2020</v>
      </c>
      <c r="B15" s="169">
        <v>729120</v>
      </c>
      <c r="C15" s="291">
        <v>1884452</v>
      </c>
      <c r="D15" s="289">
        <v>19176</v>
      </c>
      <c r="E15" s="290">
        <v>2632748</v>
      </c>
      <c r="G15" s="169">
        <v>20812</v>
      </c>
      <c r="H15" s="292">
        <v>72849</v>
      </c>
      <c r="I15" s="289">
        <v>32548</v>
      </c>
      <c r="J15" s="289">
        <v>126209</v>
      </c>
    </row>
    <row r="16" spans="1:10" s="49" customFormat="1" ht="10" customHeight="1">
      <c r="A16" s="168">
        <v>2021</v>
      </c>
      <c r="B16" s="169">
        <v>834452</v>
      </c>
      <c r="C16" s="169">
        <v>2119486</v>
      </c>
      <c r="D16" s="169">
        <v>21896</v>
      </c>
      <c r="E16" s="169">
        <v>2975834</v>
      </c>
      <c r="F16" s="169"/>
      <c r="G16" s="169">
        <v>21042</v>
      </c>
      <c r="H16" s="169">
        <v>80632</v>
      </c>
      <c r="I16" s="169">
        <v>31544</v>
      </c>
      <c r="J16" s="169">
        <v>133218</v>
      </c>
    </row>
    <row r="17" spans="1:10" ht="9.75" customHeight="1">
      <c r="A17" s="168">
        <v>2022</v>
      </c>
      <c r="B17" s="169">
        <v>783784.99999999988</v>
      </c>
      <c r="C17" s="291">
        <v>2222494</v>
      </c>
      <c r="D17" s="289">
        <v>20235</v>
      </c>
      <c r="E17" s="290">
        <f>+C17+D17+B17</f>
        <v>3026514</v>
      </c>
      <c r="F17" s="49"/>
      <c r="G17" s="169">
        <v>21904</v>
      </c>
      <c r="H17" s="292">
        <v>76404</v>
      </c>
      <c r="I17" s="289">
        <v>29915</v>
      </c>
      <c r="J17" s="289">
        <f>+G17+H17+I17</f>
        <v>128223</v>
      </c>
    </row>
    <row r="18" spans="1:10" ht="9.75" customHeight="1">
      <c r="A18" s="168">
        <v>2023</v>
      </c>
      <c r="B18" s="169">
        <v>849564</v>
      </c>
      <c r="C18" s="291">
        <v>2078807</v>
      </c>
      <c r="D18" s="289">
        <v>20238</v>
      </c>
      <c r="E18" s="290">
        <f>+B18+C18+D18</f>
        <v>2948609</v>
      </c>
      <c r="F18" s="49"/>
      <c r="G18" s="169">
        <v>21100</v>
      </c>
      <c r="H18" s="292">
        <v>73712</v>
      </c>
      <c r="I18" s="289">
        <v>24680</v>
      </c>
      <c r="J18" s="289">
        <f>+G18+H18+I18</f>
        <v>119492</v>
      </c>
    </row>
    <row r="19" spans="1:10" ht="9.75" customHeight="1">
      <c r="A19" s="168">
        <v>2024</v>
      </c>
      <c r="B19" s="169">
        <v>975479</v>
      </c>
      <c r="C19" s="291">
        <v>2222872</v>
      </c>
      <c r="D19" s="289">
        <v>21645</v>
      </c>
      <c r="E19" s="290">
        <f>+B19+C19+D19</f>
        <v>3219996</v>
      </c>
      <c r="F19" s="49"/>
      <c r="G19" s="169">
        <v>18681</v>
      </c>
      <c r="H19" s="292">
        <v>71466</v>
      </c>
      <c r="I19" s="289">
        <v>26810</v>
      </c>
      <c r="J19" s="289">
        <v>116957</v>
      </c>
    </row>
    <row r="20" spans="1:10" s="49" customFormat="1" ht="10" customHeight="1">
      <c r="A20" s="162"/>
      <c r="B20" s="169"/>
      <c r="E20" s="169"/>
    </row>
    <row r="21" spans="1:10" s="49" customFormat="1" ht="10" customHeight="1">
      <c r="A21" s="168"/>
      <c r="B21" s="597" t="s">
        <v>62</v>
      </c>
      <c r="C21" s="597"/>
      <c r="D21" s="597"/>
      <c r="E21" s="597"/>
      <c r="F21" s="597"/>
      <c r="G21" s="597"/>
      <c r="H21" s="597"/>
      <c r="I21" s="597"/>
      <c r="J21" s="597"/>
    </row>
    <row r="22" spans="1:10" ht="3" customHeight="1">
      <c r="A22" s="168"/>
      <c r="B22" s="169"/>
      <c r="C22" s="289"/>
      <c r="D22" s="289"/>
      <c r="E22" s="290"/>
      <c r="F22" s="49"/>
      <c r="G22" s="289"/>
      <c r="H22" s="289"/>
      <c r="I22" s="289"/>
      <c r="J22" s="289"/>
    </row>
    <row r="23" spans="1:10" s="49" customFormat="1" ht="10" customHeight="1">
      <c r="A23" s="168">
        <v>2020</v>
      </c>
      <c r="B23" s="169">
        <v>748020</v>
      </c>
      <c r="C23" s="292">
        <v>1920161</v>
      </c>
      <c r="D23" s="289">
        <v>18374</v>
      </c>
      <c r="E23" s="290">
        <v>2686555</v>
      </c>
      <c r="G23" s="289">
        <v>20761</v>
      </c>
      <c r="H23" s="292">
        <v>86359</v>
      </c>
      <c r="I23" s="289">
        <v>29108</v>
      </c>
      <c r="J23" s="289">
        <v>136228</v>
      </c>
    </row>
    <row r="24" spans="1:10" s="49" customFormat="1" ht="10" customHeight="1">
      <c r="A24" s="168">
        <v>2021</v>
      </c>
      <c r="B24" s="169">
        <v>850210</v>
      </c>
      <c r="C24" s="292">
        <v>2296782</v>
      </c>
      <c r="D24" s="289">
        <v>23213</v>
      </c>
      <c r="E24" s="290">
        <v>3170205</v>
      </c>
      <c r="G24" s="289">
        <v>25938</v>
      </c>
      <c r="H24" s="292">
        <v>98248</v>
      </c>
      <c r="I24" s="289">
        <v>40776</v>
      </c>
      <c r="J24" s="289">
        <v>164962</v>
      </c>
    </row>
    <row r="25" spans="1:10" s="49" customFormat="1" ht="10" customHeight="1">
      <c r="A25" s="168">
        <v>2022</v>
      </c>
      <c r="B25" s="169">
        <v>796890.00000000012</v>
      </c>
      <c r="C25" s="292">
        <v>2360965</v>
      </c>
      <c r="D25" s="289">
        <v>21314</v>
      </c>
      <c r="E25" s="290">
        <f>+C25+D25+B25</f>
        <v>3179169</v>
      </c>
      <c r="G25" s="289">
        <v>26641</v>
      </c>
      <c r="H25" s="292">
        <v>95965</v>
      </c>
      <c r="I25" s="289">
        <v>36284</v>
      </c>
      <c r="J25" s="289">
        <f>+G25+H25+I25</f>
        <v>158890</v>
      </c>
    </row>
    <row r="26" spans="1:10" s="49" customFormat="1" ht="10" customHeight="1">
      <c r="A26" s="168">
        <v>2023</v>
      </c>
      <c r="B26" s="169">
        <v>861420</v>
      </c>
      <c r="C26" s="292">
        <v>2242866</v>
      </c>
      <c r="D26" s="289">
        <v>21011</v>
      </c>
      <c r="E26" s="290">
        <f t="shared" ref="E26:E27" si="0">+C26+D26+B26</f>
        <v>3125297</v>
      </c>
      <c r="G26" s="289">
        <v>27829</v>
      </c>
      <c r="H26" s="292">
        <v>91275</v>
      </c>
      <c r="I26" s="289">
        <v>34793</v>
      </c>
      <c r="J26" s="289">
        <f>+G26+H26+I26</f>
        <v>153897</v>
      </c>
    </row>
    <row r="27" spans="1:10" s="49" customFormat="1" ht="10" customHeight="1">
      <c r="A27" s="168">
        <v>2024</v>
      </c>
      <c r="B27" s="169">
        <v>887265</v>
      </c>
      <c r="C27" s="292">
        <v>2197318</v>
      </c>
      <c r="D27" s="289">
        <v>21422</v>
      </c>
      <c r="E27" s="290">
        <f t="shared" si="0"/>
        <v>3106005</v>
      </c>
      <c r="G27" s="289">
        <v>25676</v>
      </c>
      <c r="H27" s="292">
        <v>83859</v>
      </c>
      <c r="I27" s="289">
        <v>34283</v>
      </c>
      <c r="J27" s="289">
        <f>+G27+H27+I27</f>
        <v>143818</v>
      </c>
    </row>
    <row r="28" spans="1:10" s="49" customFormat="1" ht="10" customHeight="1">
      <c r="A28" s="168"/>
    </row>
    <row r="29" spans="1:10" s="49" customFormat="1" ht="10" customHeight="1">
      <c r="A29" s="168"/>
      <c r="B29" s="606" t="s">
        <v>63</v>
      </c>
      <c r="C29" s="606"/>
      <c r="D29" s="606"/>
      <c r="E29" s="606"/>
      <c r="F29" s="606"/>
      <c r="G29" s="606"/>
      <c r="H29" s="606"/>
      <c r="I29" s="606"/>
      <c r="J29" s="606"/>
    </row>
    <row r="30" spans="1:10" ht="3" customHeight="1">
      <c r="A30" s="168"/>
      <c r="B30" s="169"/>
      <c r="C30" s="289"/>
      <c r="D30" s="290"/>
      <c r="E30" s="290"/>
      <c r="F30" s="49"/>
      <c r="G30" s="290"/>
      <c r="H30" s="289"/>
      <c r="I30" s="290"/>
      <c r="J30" s="289"/>
    </row>
    <row r="31" spans="1:10" s="49" customFormat="1" ht="10" customHeight="1">
      <c r="A31" s="168">
        <v>2020</v>
      </c>
      <c r="B31" s="169">
        <v>841357</v>
      </c>
      <c r="C31" s="292">
        <v>2554738</v>
      </c>
      <c r="D31" s="290">
        <v>12300</v>
      </c>
      <c r="E31" s="290">
        <v>3408395</v>
      </c>
      <c r="G31" s="290">
        <v>75160</v>
      </c>
      <c r="H31" s="292">
        <v>216854</v>
      </c>
      <c r="I31" s="290">
        <v>120473</v>
      </c>
      <c r="J31" s="289">
        <v>412487</v>
      </c>
    </row>
    <row r="32" spans="1:10" s="49" customFormat="1" ht="10" customHeight="1">
      <c r="A32" s="168">
        <v>2021</v>
      </c>
      <c r="B32" s="169">
        <v>847161</v>
      </c>
      <c r="C32" s="292">
        <v>2388605</v>
      </c>
      <c r="D32" s="290">
        <v>10673</v>
      </c>
      <c r="E32" s="290">
        <v>3246439</v>
      </c>
      <c r="G32" s="290">
        <v>70027</v>
      </c>
      <c r="H32" s="292">
        <v>198935</v>
      </c>
      <c r="I32" s="290">
        <v>111241</v>
      </c>
      <c r="J32" s="289">
        <v>380203</v>
      </c>
    </row>
    <row r="33" spans="1:10" s="49" customFormat="1" ht="10" customHeight="1">
      <c r="A33" s="168">
        <v>2022</v>
      </c>
      <c r="B33" s="169">
        <v>807609</v>
      </c>
      <c r="C33" s="169">
        <v>2261274</v>
      </c>
      <c r="D33" s="169">
        <v>9557</v>
      </c>
      <c r="E33" s="169">
        <f>+C33+D33+B33</f>
        <v>3078440</v>
      </c>
      <c r="F33" s="162"/>
      <c r="G33" s="169">
        <v>65605</v>
      </c>
      <c r="H33" s="169">
        <v>180134</v>
      </c>
      <c r="I33" s="293">
        <v>104872</v>
      </c>
      <c r="J33" s="169">
        <f>+G33+H33+I33</f>
        <v>350611</v>
      </c>
    </row>
    <row r="34" spans="1:10" s="49" customFormat="1" ht="10" customHeight="1">
      <c r="A34" s="168">
        <v>2023</v>
      </c>
      <c r="B34" s="169">
        <v>805199</v>
      </c>
      <c r="C34" s="169">
        <v>2118133</v>
      </c>
      <c r="D34" s="169">
        <v>8586</v>
      </c>
      <c r="E34" s="290">
        <f>+B34+C34+D34</f>
        <v>2931918</v>
      </c>
      <c r="F34" s="162"/>
      <c r="G34" s="169">
        <v>59301</v>
      </c>
      <c r="H34" s="169">
        <v>163256</v>
      </c>
      <c r="I34" s="293">
        <v>94759</v>
      </c>
      <c r="J34" s="289">
        <f>+G34+H34+I34</f>
        <v>317316</v>
      </c>
    </row>
    <row r="35" spans="1:10" s="49" customFormat="1" ht="10" customHeight="1">
      <c r="A35" s="168">
        <v>2024</v>
      </c>
      <c r="B35" s="169">
        <v>986163</v>
      </c>
      <c r="C35" s="169">
        <v>2156332</v>
      </c>
      <c r="D35" s="169">
        <v>8699</v>
      </c>
      <c r="E35" s="290">
        <f>+B35+C35+D35</f>
        <v>3151194</v>
      </c>
      <c r="F35" s="162"/>
      <c r="G35" s="169">
        <v>52477</v>
      </c>
      <c r="H35" s="169">
        <v>150936</v>
      </c>
      <c r="I35" s="293">
        <v>87380</v>
      </c>
      <c r="J35" s="289">
        <f>+G35+H35+I35</f>
        <v>290793</v>
      </c>
    </row>
    <row r="36" spans="1:10" ht="10" customHeight="1">
      <c r="A36" s="168"/>
      <c r="B36" s="169"/>
      <c r="C36" s="169"/>
      <c r="D36" s="169"/>
      <c r="E36" s="290"/>
      <c r="F36" s="162"/>
      <c r="G36" s="169"/>
      <c r="H36" s="169"/>
      <c r="I36" s="293"/>
      <c r="J36" s="169"/>
    </row>
    <row r="37" spans="1:10" s="49" customFormat="1" ht="10" customHeight="1">
      <c r="A37" s="168"/>
      <c r="B37" s="607" t="s">
        <v>64</v>
      </c>
      <c r="C37" s="607"/>
      <c r="D37" s="607"/>
      <c r="E37" s="607"/>
      <c r="F37" s="607"/>
      <c r="G37" s="607"/>
      <c r="H37" s="607"/>
      <c r="I37" s="607"/>
      <c r="J37" s="607"/>
    </row>
    <row r="38" spans="1:10" ht="3" customHeight="1">
      <c r="A38" s="168"/>
      <c r="B38" s="169"/>
      <c r="C38" s="169"/>
      <c r="D38" s="169"/>
      <c r="E38" s="169"/>
      <c r="F38" s="162"/>
      <c r="G38" s="169"/>
      <c r="H38" s="169"/>
      <c r="I38" s="293"/>
      <c r="J38" s="169"/>
    </row>
    <row r="39" spans="1:10" s="49" customFormat="1" ht="10" customHeight="1">
      <c r="A39" s="162"/>
      <c r="B39" s="597" t="s">
        <v>61</v>
      </c>
      <c r="C39" s="597"/>
      <c r="D39" s="597"/>
      <c r="E39" s="597"/>
      <c r="F39" s="597"/>
      <c r="G39" s="597"/>
      <c r="H39" s="597"/>
      <c r="I39" s="597"/>
      <c r="J39" s="597"/>
    </row>
    <row r="40" spans="1:10" ht="3" customHeight="1">
      <c r="A40" s="168"/>
      <c r="B40" s="162"/>
      <c r="C40" s="162"/>
      <c r="D40" s="162"/>
      <c r="E40" s="162"/>
      <c r="F40" s="162"/>
      <c r="G40" s="162"/>
      <c r="H40" s="162"/>
      <c r="I40" s="162"/>
      <c r="J40" s="162"/>
    </row>
    <row r="41" spans="1:10" s="49" customFormat="1" ht="10" customHeight="1">
      <c r="A41" s="168">
        <v>2020</v>
      </c>
      <c r="B41" s="184">
        <f t="shared" ref="B41:D45" si="1">+B15/$E15*100</f>
        <v>27.694257103224462</v>
      </c>
      <c r="C41" s="184">
        <f t="shared" si="1"/>
        <v>71.577378465390538</v>
      </c>
      <c r="D41" s="184">
        <f t="shared" si="1"/>
        <v>0.72836443138500151</v>
      </c>
      <c r="E41" s="184">
        <v>100</v>
      </c>
      <c r="F41" s="185"/>
      <c r="G41" s="186">
        <f t="shared" ref="G41:I45" si="2">+G15/$J15*100</f>
        <v>16.490107678533228</v>
      </c>
      <c r="H41" s="186">
        <f t="shared" si="2"/>
        <v>57.720923230514465</v>
      </c>
      <c r="I41" s="186">
        <f t="shared" si="2"/>
        <v>25.788969090952307</v>
      </c>
      <c r="J41" s="184">
        <v>100</v>
      </c>
    </row>
    <row r="42" spans="1:10" s="49" customFormat="1" ht="10" customHeight="1">
      <c r="A42" s="168">
        <v>2021</v>
      </c>
      <c r="B42" s="184">
        <f t="shared" si="1"/>
        <v>28.040945832328013</v>
      </c>
      <c r="C42" s="184">
        <f t="shared" si="1"/>
        <v>71.223260437242132</v>
      </c>
      <c r="D42" s="184">
        <f t="shared" si="1"/>
        <v>0.73579373042985596</v>
      </c>
      <c r="E42" s="184">
        <v>100</v>
      </c>
      <c r="F42" s="185"/>
      <c r="G42" s="186">
        <f t="shared" si="2"/>
        <v>15.795162815835697</v>
      </c>
      <c r="H42" s="186">
        <f t="shared" si="2"/>
        <v>60.526355297332188</v>
      </c>
      <c r="I42" s="186">
        <f t="shared" si="2"/>
        <v>23.67848188683211</v>
      </c>
      <c r="J42" s="184">
        <v>100</v>
      </c>
    </row>
    <row r="43" spans="1:10" s="49" customFormat="1" ht="10" customHeight="1">
      <c r="A43" s="168">
        <v>2022</v>
      </c>
      <c r="B43" s="184">
        <f t="shared" si="1"/>
        <v>25.897286449030133</v>
      </c>
      <c r="C43" s="184">
        <f t="shared" si="1"/>
        <v>73.434122558164276</v>
      </c>
      <c r="D43" s="184">
        <f t="shared" si="1"/>
        <v>0.66859099280558421</v>
      </c>
      <c r="E43" s="184">
        <v>100</v>
      </c>
      <c r="F43" s="185"/>
      <c r="G43" s="186">
        <f t="shared" si="2"/>
        <v>17.082738666229925</v>
      </c>
      <c r="H43" s="186">
        <f t="shared" si="2"/>
        <v>59.58681359818442</v>
      </c>
      <c r="I43" s="186">
        <f t="shared" si="2"/>
        <v>23.330447735585661</v>
      </c>
      <c r="J43" s="184">
        <v>100</v>
      </c>
    </row>
    <row r="44" spans="1:10" s="49" customFormat="1" ht="10" customHeight="1">
      <c r="A44" s="168">
        <v>2023</v>
      </c>
      <c r="B44" s="184">
        <f t="shared" si="1"/>
        <v>28.812365423832055</v>
      </c>
      <c r="C44" s="184">
        <f t="shared" si="1"/>
        <v>70.501277042836136</v>
      </c>
      <c r="D44" s="184">
        <f t="shared" si="1"/>
        <v>0.68635753333181848</v>
      </c>
      <c r="E44" s="184">
        <v>100</v>
      </c>
      <c r="F44" s="185"/>
      <c r="G44" s="186">
        <f t="shared" si="2"/>
        <v>17.658085896963811</v>
      </c>
      <c r="H44" s="186">
        <f t="shared" si="2"/>
        <v>61.687811736350554</v>
      </c>
      <c r="I44" s="186">
        <f t="shared" si="2"/>
        <v>20.654102366685638</v>
      </c>
      <c r="J44" s="184">
        <v>100</v>
      </c>
    </row>
    <row r="45" spans="1:10" s="49" customFormat="1" ht="10" customHeight="1">
      <c r="A45" s="168">
        <v>2024</v>
      </c>
      <c r="B45" s="184">
        <f t="shared" si="1"/>
        <v>30.294416514803125</v>
      </c>
      <c r="C45" s="184">
        <f t="shared" si="1"/>
        <v>69.033377681214517</v>
      </c>
      <c r="D45" s="184">
        <f t="shared" si="1"/>
        <v>0.67220580398236518</v>
      </c>
      <c r="E45" s="184">
        <v>100</v>
      </c>
      <c r="F45" s="184">
        <f t="shared" ref="F45" si="3">+F19/$E19*100</f>
        <v>0</v>
      </c>
      <c r="G45" s="186">
        <f>+G19/$J19*100</f>
        <v>15.972536915276555</v>
      </c>
      <c r="H45" s="186">
        <f t="shared" si="2"/>
        <v>61.10450849457493</v>
      </c>
      <c r="I45" s="186">
        <f t="shared" si="2"/>
        <v>22.922954590148517</v>
      </c>
      <c r="J45" s="184">
        <v>100</v>
      </c>
    </row>
    <row r="46" spans="1:10" s="49" customFormat="1" ht="10" customHeight="1">
      <c r="A46" s="162"/>
    </row>
    <row r="47" spans="1:10" s="49" customFormat="1" ht="10" customHeight="1">
      <c r="A47" s="168"/>
      <c r="B47" s="606" t="s">
        <v>62</v>
      </c>
      <c r="C47" s="606"/>
      <c r="D47" s="606"/>
      <c r="E47" s="606"/>
      <c r="F47" s="606"/>
      <c r="G47" s="606"/>
      <c r="H47" s="606"/>
      <c r="I47" s="606"/>
      <c r="J47" s="606"/>
    </row>
    <row r="48" spans="1:10" ht="3" customHeight="1">
      <c r="A48" s="168"/>
      <c r="B48" s="184"/>
      <c r="C48" s="184"/>
      <c r="D48" s="184"/>
      <c r="E48" s="184"/>
      <c r="F48" s="185"/>
      <c r="G48" s="186"/>
      <c r="H48" s="186"/>
      <c r="I48" s="186"/>
      <c r="J48" s="184"/>
    </row>
    <row r="49" spans="1:10" s="49" customFormat="1" ht="10" customHeight="1">
      <c r="A49" s="168">
        <v>2020</v>
      </c>
      <c r="B49" s="184">
        <f t="shared" ref="B49:D53" si="4">+B23/$E23*100</f>
        <v>27.843092734003211</v>
      </c>
      <c r="C49" s="184">
        <f t="shared" si="4"/>
        <v>71.472983058228849</v>
      </c>
      <c r="D49" s="184">
        <f t="shared" si="4"/>
        <v>0.68392420776794072</v>
      </c>
      <c r="E49" s="184">
        <v>100</v>
      </c>
      <c r="F49" s="185"/>
      <c r="G49" s="186">
        <f t="shared" ref="G49:I53" si="5">+G23/$J23*100</f>
        <v>15.239891945855478</v>
      </c>
      <c r="H49" s="186">
        <f t="shared" si="5"/>
        <v>63.39298822562175</v>
      </c>
      <c r="I49" s="186">
        <f t="shared" si="5"/>
        <v>21.367119828522771</v>
      </c>
      <c r="J49" s="184">
        <v>100</v>
      </c>
    </row>
    <row r="50" spans="1:10" s="49" customFormat="1" ht="10" customHeight="1">
      <c r="A50" s="168">
        <v>2021</v>
      </c>
      <c r="B50" s="184">
        <f t="shared" si="4"/>
        <v>26.818770394974457</v>
      </c>
      <c r="C50" s="184">
        <f t="shared" si="4"/>
        <v>72.449005663671599</v>
      </c>
      <c r="D50" s="184">
        <f t="shared" si="4"/>
        <v>0.7322239413539503</v>
      </c>
      <c r="E50" s="184">
        <v>100</v>
      </c>
      <c r="F50" s="185"/>
      <c r="G50" s="186">
        <f t="shared" si="5"/>
        <v>15.723621197609146</v>
      </c>
      <c r="H50" s="186">
        <f t="shared" si="5"/>
        <v>59.557958802633337</v>
      </c>
      <c r="I50" s="186">
        <f t="shared" si="5"/>
        <v>24.718419999757522</v>
      </c>
      <c r="J50" s="184">
        <v>100</v>
      </c>
    </row>
    <row r="51" spans="1:10" s="49" customFormat="1" ht="9.75" customHeight="1">
      <c r="A51" s="168">
        <v>2022</v>
      </c>
      <c r="B51" s="184">
        <f t="shared" si="4"/>
        <v>25.065984224179338</v>
      </c>
      <c r="C51" s="184">
        <f t="shared" si="4"/>
        <v>74.263589007064425</v>
      </c>
      <c r="D51" s="184">
        <f t="shared" si="4"/>
        <v>0.67042676875623786</v>
      </c>
      <c r="E51" s="184">
        <v>100</v>
      </c>
      <c r="F51" s="294"/>
      <c r="G51" s="186">
        <f t="shared" si="5"/>
        <v>16.766945685694505</v>
      </c>
      <c r="H51" s="186">
        <f t="shared" si="5"/>
        <v>60.397130089999372</v>
      </c>
      <c r="I51" s="186">
        <f t="shared" si="5"/>
        <v>22.835924224306122</v>
      </c>
      <c r="J51" s="184">
        <v>100</v>
      </c>
    </row>
    <row r="52" spans="1:10" s="49" customFormat="1" ht="9.75" customHeight="1">
      <c r="A52" s="168">
        <v>2023</v>
      </c>
      <c r="B52" s="184">
        <f>+B26/$E26*100</f>
        <v>27.562820429546374</v>
      </c>
      <c r="C52" s="184">
        <f t="shared" si="4"/>
        <v>71.764891464715191</v>
      </c>
      <c r="D52" s="184">
        <f t="shared" si="4"/>
        <v>0.67228810573843067</v>
      </c>
      <c r="E52" s="184">
        <v>100</v>
      </c>
      <c r="F52" s="294"/>
      <c r="G52" s="186">
        <f t="shared" si="5"/>
        <v>18.082873610271804</v>
      </c>
      <c r="H52" s="186">
        <f t="shared" si="5"/>
        <v>59.309148326478102</v>
      </c>
      <c r="I52" s="186">
        <f t="shared" si="5"/>
        <v>22.607978063250094</v>
      </c>
      <c r="J52" s="184">
        <v>100</v>
      </c>
    </row>
    <row r="53" spans="1:10" s="49" customFormat="1" ht="9.75" customHeight="1">
      <c r="A53" s="168">
        <v>2024</v>
      </c>
      <c r="B53" s="184">
        <f>+B27/$E27*100</f>
        <v>28.566116281203669</v>
      </c>
      <c r="C53" s="184">
        <f>+C27/$E27*100</f>
        <v>70.744187469112248</v>
      </c>
      <c r="D53" s="184">
        <f t="shared" si="4"/>
        <v>0.68969624968407972</v>
      </c>
      <c r="E53" s="184">
        <v>100</v>
      </c>
      <c r="F53" s="294"/>
      <c r="G53" s="186">
        <f t="shared" si="5"/>
        <v>17.853119915448694</v>
      </c>
      <c r="H53" s="186">
        <f t="shared" si="5"/>
        <v>58.309112906590279</v>
      </c>
      <c r="I53" s="186">
        <f t="shared" si="5"/>
        <v>23.837767177961034</v>
      </c>
      <c r="J53" s="184">
        <v>100</v>
      </c>
    </row>
    <row r="54" spans="1:10" ht="10" customHeight="1">
      <c r="A54" s="162"/>
    </row>
    <row r="55" spans="1:10" s="49" customFormat="1" ht="10" customHeight="1">
      <c r="A55" s="162"/>
      <c r="B55" s="606" t="s">
        <v>63</v>
      </c>
      <c r="C55" s="606"/>
      <c r="D55" s="606"/>
      <c r="E55" s="606"/>
      <c r="F55" s="606"/>
      <c r="G55" s="606"/>
      <c r="H55" s="606"/>
      <c r="I55" s="606"/>
      <c r="J55" s="606"/>
    </row>
    <row r="56" spans="1:10" s="49" customFormat="1" ht="3" customHeight="1">
      <c r="A56" s="168"/>
      <c r="B56" s="184"/>
      <c r="C56" s="184"/>
      <c r="D56" s="184"/>
      <c r="E56" s="184"/>
      <c r="F56" s="185"/>
      <c r="G56" s="186"/>
      <c r="H56" s="186"/>
      <c r="I56" s="186"/>
      <c r="J56" s="184"/>
    </row>
    <row r="57" spans="1:10" s="49" customFormat="1" ht="10" customHeight="1">
      <c r="A57" s="168">
        <v>2020</v>
      </c>
      <c r="B57" s="184">
        <f t="shared" ref="B57:D61" si="6">+B31/$E31*100</f>
        <v>24.684844332889821</v>
      </c>
      <c r="C57" s="184">
        <f t="shared" si="6"/>
        <v>74.954282000765758</v>
      </c>
      <c r="D57" s="184">
        <f t="shared" si="6"/>
        <v>0.36087366634442308</v>
      </c>
      <c r="E57" s="184">
        <v>100</v>
      </c>
      <c r="F57" s="185"/>
      <c r="G57" s="186">
        <f t="shared" ref="G57:I61" si="7">+G31/$J31*100</f>
        <v>18.22118030386412</v>
      </c>
      <c r="H57" s="186">
        <f t="shared" si="7"/>
        <v>52.572323491407005</v>
      </c>
      <c r="I57" s="186">
        <f t="shared" si="7"/>
        <v>29.206496204728875</v>
      </c>
      <c r="J57" s="184">
        <v>100</v>
      </c>
    </row>
    <row r="58" spans="1:10" s="49" customFormat="1" ht="10" customHeight="1">
      <c r="A58" s="168">
        <v>2021</v>
      </c>
      <c r="B58" s="184">
        <f>+B32/$E32*100</f>
        <v>26.095084491037717</v>
      </c>
      <c r="C58" s="184">
        <f t="shared" si="6"/>
        <v>73.576155288918102</v>
      </c>
      <c r="D58" s="184">
        <f t="shared" si="6"/>
        <v>0.3287602200441776</v>
      </c>
      <c r="E58" s="184">
        <v>100</v>
      </c>
      <c r="F58" s="185"/>
      <c r="G58" s="186">
        <f t="shared" si="7"/>
        <v>18.418318635044965</v>
      </c>
      <c r="H58" s="186">
        <f t="shared" si="7"/>
        <v>52.323364097600489</v>
      </c>
      <c r="I58" s="186">
        <f t="shared" si="7"/>
        <v>29.258317267354546</v>
      </c>
      <c r="J58" s="184">
        <v>100</v>
      </c>
    </row>
    <row r="59" spans="1:10" s="49" customFormat="1" ht="10" customHeight="1">
      <c r="A59" s="168">
        <v>2022</v>
      </c>
      <c r="B59" s="184">
        <f>+B33/$E33*100</f>
        <v>26.234358961032211</v>
      </c>
      <c r="C59" s="184">
        <f t="shared" si="6"/>
        <v>73.455191590545866</v>
      </c>
      <c r="D59" s="184">
        <f t="shared" si="6"/>
        <v>0.31044944842192801</v>
      </c>
      <c r="E59" s="184">
        <v>100</v>
      </c>
      <c r="F59" s="147"/>
      <c r="G59" s="186">
        <f t="shared" si="7"/>
        <v>18.711620570946145</v>
      </c>
      <c r="H59" s="186">
        <f t="shared" si="7"/>
        <v>51.377167287963012</v>
      </c>
      <c r="I59" s="186">
        <f t="shared" si="7"/>
        <v>29.911212141090836</v>
      </c>
      <c r="J59" s="184">
        <v>100</v>
      </c>
    </row>
    <row r="60" spans="1:10" s="49" customFormat="1" ht="10" customHeight="1">
      <c r="A60" s="168">
        <v>2023</v>
      </c>
      <c r="B60" s="184">
        <f>+B34/$E34*100</f>
        <v>27.463216911250587</v>
      </c>
      <c r="C60" s="184">
        <f t="shared" si="6"/>
        <v>72.243937245175331</v>
      </c>
      <c r="D60" s="184">
        <f t="shared" si="6"/>
        <v>0.29284584357406995</v>
      </c>
      <c r="E60" s="184">
        <v>100</v>
      </c>
      <c r="F60" s="147"/>
      <c r="G60" s="186">
        <f t="shared" si="7"/>
        <v>18.688310706046966</v>
      </c>
      <c r="H60" s="186">
        <f t="shared" si="7"/>
        <v>51.449028728459957</v>
      </c>
      <c r="I60" s="186">
        <f t="shared" si="7"/>
        <v>29.862660565493073</v>
      </c>
      <c r="J60" s="184">
        <v>100</v>
      </c>
    </row>
    <row r="61" spans="1:10" s="49" customFormat="1" ht="10" customHeight="1">
      <c r="A61" s="168">
        <v>2024</v>
      </c>
      <c r="B61" s="184">
        <f>+B35/$E35*100</f>
        <v>31.294899647562165</v>
      </c>
      <c r="C61" s="184">
        <f t="shared" si="6"/>
        <v>68.429046259925613</v>
      </c>
      <c r="D61" s="184">
        <f t="shared" si="6"/>
        <v>0.27605409251223506</v>
      </c>
      <c r="E61" s="184">
        <v>100</v>
      </c>
      <c r="F61" s="147"/>
      <c r="G61" s="186">
        <f t="shared" si="7"/>
        <v>18.046170299835278</v>
      </c>
      <c r="H61" s="186">
        <f t="shared" si="7"/>
        <v>51.904963324426653</v>
      </c>
      <c r="I61" s="186">
        <f t="shared" si="7"/>
        <v>30.048866375738072</v>
      </c>
      <c r="J61" s="184">
        <v>100</v>
      </c>
    </row>
    <row r="62" spans="1:10" s="49" customFormat="1" ht="21" customHeight="1">
      <c r="A62" s="279"/>
      <c r="B62" s="187"/>
      <c r="C62" s="188"/>
      <c r="D62" s="187"/>
      <c r="E62" s="187"/>
      <c r="F62" s="187"/>
      <c r="G62" s="187"/>
      <c r="H62" s="187"/>
      <c r="I62" s="187"/>
      <c r="J62" s="187"/>
    </row>
    <row r="63" spans="1:10" ht="3" customHeight="1">
      <c r="A63" s="147"/>
      <c r="B63" s="147"/>
      <c r="C63" s="166"/>
      <c r="D63" s="147"/>
      <c r="E63" s="147"/>
      <c r="F63" s="147"/>
      <c r="G63" s="147"/>
      <c r="H63" s="147"/>
      <c r="I63" s="147"/>
      <c r="J63" s="147"/>
    </row>
    <row r="64" spans="1:10" ht="18" customHeight="1">
      <c r="A64" s="603" t="s">
        <v>65</v>
      </c>
      <c r="B64" s="603"/>
      <c r="C64" s="603"/>
      <c r="D64" s="603"/>
      <c r="E64" s="603"/>
      <c r="F64" s="603"/>
      <c r="G64" s="603"/>
      <c r="H64" s="603"/>
      <c r="I64" s="603"/>
      <c r="J64" s="603"/>
    </row>
    <row r="65" spans="1:10" ht="18" customHeight="1">
      <c r="A65" s="602" t="s">
        <v>66</v>
      </c>
      <c r="B65" s="603"/>
      <c r="C65" s="603"/>
      <c r="D65" s="603"/>
      <c r="E65" s="603"/>
      <c r="F65" s="603"/>
      <c r="G65" s="603"/>
      <c r="H65" s="603"/>
      <c r="I65" s="603"/>
      <c r="J65" s="603"/>
    </row>
    <row r="66" spans="1:10" s="162" customFormat="1" ht="12" customHeight="1">
      <c r="A66" s="604" t="s">
        <v>67</v>
      </c>
      <c r="B66" s="604"/>
      <c r="C66" s="604"/>
      <c r="D66" s="604"/>
      <c r="E66" s="604"/>
      <c r="F66" s="604"/>
      <c r="G66" s="604"/>
      <c r="H66" s="604"/>
      <c r="I66" s="604"/>
      <c r="J66" s="604"/>
    </row>
    <row r="67" spans="1:10" s="162" customFormat="1" ht="36" customHeight="1">
      <c r="A67" s="605" t="s">
        <v>68</v>
      </c>
      <c r="B67" s="605"/>
      <c r="C67" s="605"/>
      <c r="D67" s="605"/>
      <c r="E67" s="605"/>
      <c r="F67" s="605"/>
      <c r="G67" s="605"/>
      <c r="H67" s="605"/>
      <c r="I67" s="605"/>
      <c r="J67" s="605"/>
    </row>
    <row r="68" spans="1:10" ht="9.75" customHeight="1"/>
    <row r="69" spans="1:10" ht="15" customHeight="1">
      <c r="A69" s="147"/>
      <c r="B69" s="189"/>
      <c r="C69" s="189"/>
      <c r="D69" s="189"/>
      <c r="E69" s="189"/>
      <c r="F69" s="147"/>
      <c r="G69" s="189"/>
      <c r="H69" s="189"/>
      <c r="I69" s="189"/>
      <c r="J69" s="189"/>
    </row>
    <row r="70" spans="1:10">
      <c r="A70" s="147"/>
      <c r="B70" s="189"/>
      <c r="C70" s="189"/>
      <c r="D70" s="189"/>
      <c r="E70" s="189"/>
      <c r="F70" s="147"/>
      <c r="G70" s="189"/>
      <c r="H70" s="189"/>
      <c r="I70" s="189"/>
      <c r="J70" s="189"/>
    </row>
    <row r="71" spans="1:10" ht="15" customHeight="1">
      <c r="A71" s="147"/>
      <c r="B71" s="189"/>
      <c r="C71" s="189"/>
      <c r="D71" s="189"/>
      <c r="E71" s="189"/>
      <c r="F71" s="147"/>
      <c r="G71" s="189"/>
      <c r="H71" s="189"/>
      <c r="I71" s="189"/>
      <c r="J71" s="189"/>
    </row>
    <row r="72" spans="1:10">
      <c r="A72" s="147"/>
      <c r="B72" s="189"/>
      <c r="C72" s="189"/>
      <c r="D72" s="189"/>
      <c r="E72" s="189"/>
      <c r="F72" s="147"/>
      <c r="G72" s="189"/>
      <c r="H72" s="189"/>
      <c r="I72" s="189"/>
      <c r="J72" s="189"/>
    </row>
    <row r="73" spans="1:10">
      <c r="A73" s="147"/>
      <c r="B73" s="147"/>
      <c r="C73" s="166"/>
      <c r="D73" s="147"/>
      <c r="E73" s="147"/>
      <c r="F73" s="147"/>
      <c r="G73" s="147"/>
      <c r="H73" s="166"/>
      <c r="I73" s="147"/>
      <c r="J73" s="147"/>
    </row>
    <row r="74" spans="1:10">
      <c r="A74" s="147"/>
      <c r="B74" s="147"/>
      <c r="C74" s="166"/>
      <c r="D74" s="147"/>
      <c r="E74" s="147"/>
      <c r="F74" s="147"/>
      <c r="G74" s="147"/>
      <c r="H74" s="166"/>
      <c r="I74" s="147"/>
      <c r="J74" s="147"/>
    </row>
    <row r="75" spans="1:10">
      <c r="A75" s="147"/>
      <c r="B75" s="189"/>
      <c r="C75" s="189"/>
      <c r="D75" s="189"/>
      <c r="E75" s="189"/>
      <c r="F75" s="147"/>
      <c r="G75" s="189"/>
      <c r="H75" s="189"/>
      <c r="I75" s="189"/>
      <c r="J75" s="189"/>
    </row>
    <row r="76" spans="1:10">
      <c r="A76" s="147"/>
      <c r="B76" s="189"/>
      <c r="C76" s="189"/>
      <c r="D76" s="189"/>
      <c r="E76" s="189"/>
      <c r="F76" s="147"/>
      <c r="G76" s="189"/>
      <c r="H76" s="189"/>
      <c r="I76" s="189"/>
      <c r="J76" s="189"/>
    </row>
    <row r="77" spans="1:10">
      <c r="A77" s="147"/>
      <c r="B77" s="189"/>
      <c r="C77" s="189"/>
      <c r="D77" s="189"/>
      <c r="E77" s="189"/>
      <c r="F77" s="147"/>
      <c r="G77" s="189"/>
      <c r="H77" s="189"/>
      <c r="I77" s="189"/>
      <c r="J77" s="189"/>
    </row>
    <row r="78" spans="1:10">
      <c r="A78" s="147"/>
      <c r="B78" s="189"/>
      <c r="C78" s="189"/>
      <c r="D78" s="189"/>
      <c r="E78" s="189"/>
      <c r="F78" s="147"/>
      <c r="G78" s="189"/>
      <c r="H78" s="189"/>
      <c r="I78" s="189"/>
      <c r="J78" s="189"/>
    </row>
    <row r="79" spans="1:10">
      <c r="A79" s="147"/>
      <c r="B79" s="189"/>
      <c r="C79" s="189"/>
      <c r="D79" s="189"/>
      <c r="E79" s="189"/>
      <c r="F79" s="147"/>
      <c r="G79" s="189"/>
      <c r="H79" s="189"/>
      <c r="I79" s="189"/>
      <c r="J79" s="189"/>
    </row>
    <row r="80" spans="1:10">
      <c r="A80" s="147"/>
      <c r="B80" s="147"/>
      <c r="C80" s="166"/>
      <c r="D80" s="147"/>
      <c r="E80" s="147"/>
      <c r="F80" s="147"/>
      <c r="G80" s="147"/>
      <c r="H80" s="166"/>
      <c r="I80" s="147"/>
      <c r="J80" s="147"/>
    </row>
    <row r="81" spans="1:10">
      <c r="A81" s="147"/>
      <c r="B81" s="147"/>
      <c r="C81" s="166"/>
      <c r="D81" s="147"/>
      <c r="E81" s="147"/>
      <c r="F81" s="147"/>
      <c r="G81" s="147"/>
      <c r="H81" s="166"/>
      <c r="I81" s="147"/>
      <c r="J81" s="147"/>
    </row>
    <row r="82" spans="1:10">
      <c r="A82" s="147"/>
      <c r="B82" s="147"/>
      <c r="C82" s="166"/>
      <c r="D82" s="147"/>
      <c r="E82" s="147"/>
      <c r="F82" s="147"/>
      <c r="G82" s="147"/>
      <c r="H82" s="166"/>
      <c r="I82" s="147"/>
      <c r="J82" s="147"/>
    </row>
    <row r="83" spans="1:10">
      <c r="A83" s="147"/>
      <c r="B83" s="147"/>
      <c r="C83" s="166"/>
      <c r="D83" s="147"/>
      <c r="E83" s="147"/>
      <c r="F83" s="147"/>
      <c r="G83" s="147"/>
      <c r="H83" s="166"/>
      <c r="I83" s="147"/>
      <c r="J83" s="147"/>
    </row>
    <row r="84" spans="1:10">
      <c r="A84" s="147"/>
      <c r="B84" s="147"/>
      <c r="C84" s="166"/>
      <c r="D84" s="147"/>
      <c r="E84" s="147"/>
      <c r="F84" s="147"/>
      <c r="G84" s="147"/>
      <c r="H84" s="166"/>
      <c r="I84" s="147"/>
      <c r="J84" s="147"/>
    </row>
    <row r="85" spans="1:10">
      <c r="A85" s="147"/>
      <c r="B85" s="147"/>
      <c r="C85" s="166"/>
      <c r="D85" s="147"/>
      <c r="E85" s="147"/>
      <c r="F85" s="147"/>
      <c r="G85" s="147"/>
      <c r="H85" s="166"/>
      <c r="I85" s="147"/>
      <c r="J85" s="147"/>
    </row>
    <row r="86" spans="1:10">
      <c r="A86" s="147"/>
      <c r="B86" s="147"/>
      <c r="C86" s="166"/>
      <c r="D86" s="147"/>
      <c r="E86" s="147"/>
      <c r="F86" s="147"/>
      <c r="G86" s="147"/>
      <c r="H86" s="166"/>
      <c r="I86" s="147"/>
      <c r="J86" s="147"/>
    </row>
    <row r="87" spans="1:10">
      <c r="A87" s="147"/>
      <c r="B87" s="147"/>
      <c r="C87" s="166"/>
      <c r="D87" s="147"/>
      <c r="E87" s="147"/>
      <c r="F87" s="147"/>
      <c r="G87" s="147"/>
      <c r="H87" s="166"/>
      <c r="I87" s="147"/>
      <c r="J87" s="147"/>
    </row>
    <row r="88" spans="1:10">
      <c r="A88" s="147"/>
      <c r="B88" s="147"/>
      <c r="C88" s="166"/>
      <c r="D88" s="147"/>
      <c r="E88" s="147"/>
      <c r="F88" s="147"/>
      <c r="G88" s="147"/>
      <c r="H88" s="166"/>
      <c r="I88" s="147"/>
      <c r="J88" s="147"/>
    </row>
    <row r="89" spans="1:10">
      <c r="A89" s="147"/>
      <c r="B89" s="147"/>
      <c r="C89" s="166"/>
      <c r="D89" s="147"/>
      <c r="E89" s="147"/>
      <c r="F89" s="147"/>
      <c r="G89" s="147"/>
      <c r="H89" s="166"/>
      <c r="I89" s="147"/>
      <c r="J89" s="147"/>
    </row>
    <row r="90" spans="1:10">
      <c r="A90" s="147"/>
      <c r="B90" s="147"/>
      <c r="C90" s="166"/>
      <c r="D90" s="147"/>
      <c r="E90" s="147"/>
      <c r="F90" s="147"/>
      <c r="G90" s="147"/>
      <c r="H90" s="166"/>
      <c r="I90" s="147"/>
      <c r="J90" s="147"/>
    </row>
    <row r="91" spans="1:10">
      <c r="A91" s="147"/>
      <c r="B91" s="147"/>
      <c r="C91" s="166"/>
      <c r="D91" s="147"/>
      <c r="E91" s="147"/>
      <c r="F91" s="147"/>
      <c r="G91" s="147"/>
      <c r="H91" s="166"/>
      <c r="I91" s="147"/>
      <c r="J91" s="147"/>
    </row>
    <row r="92" spans="1:10">
      <c r="A92" s="147"/>
      <c r="B92" s="147"/>
      <c r="C92" s="166"/>
      <c r="D92" s="147"/>
      <c r="E92" s="147"/>
      <c r="F92" s="147"/>
      <c r="G92" s="147"/>
      <c r="H92" s="166"/>
      <c r="I92" s="147"/>
      <c r="J92" s="147"/>
    </row>
    <row r="93" spans="1:10">
      <c r="A93" s="147"/>
      <c r="B93" s="147"/>
      <c r="C93" s="166"/>
      <c r="D93" s="147"/>
      <c r="E93" s="147"/>
      <c r="F93" s="147"/>
      <c r="G93" s="147"/>
      <c r="H93" s="166"/>
      <c r="I93" s="147"/>
      <c r="J93" s="147"/>
    </row>
    <row r="94" spans="1:10">
      <c r="A94" s="147"/>
      <c r="B94" s="147"/>
      <c r="C94" s="166"/>
      <c r="D94" s="147"/>
      <c r="E94" s="147"/>
      <c r="F94" s="147"/>
      <c r="G94" s="147"/>
      <c r="H94" s="166"/>
      <c r="I94" s="147"/>
      <c r="J94" s="147"/>
    </row>
    <row r="95" spans="1:10">
      <c r="A95" s="147"/>
      <c r="B95" s="147"/>
      <c r="C95" s="166"/>
      <c r="D95" s="147"/>
      <c r="E95" s="147"/>
      <c r="F95" s="147"/>
      <c r="G95" s="147"/>
      <c r="H95" s="147"/>
      <c r="I95" s="147"/>
      <c r="J95" s="147"/>
    </row>
    <row r="96" spans="1:10">
      <c r="A96" s="147"/>
      <c r="B96" s="147"/>
      <c r="C96" s="166"/>
      <c r="D96" s="147"/>
      <c r="E96" s="147"/>
      <c r="F96" s="147"/>
      <c r="G96" s="147"/>
      <c r="H96" s="147"/>
      <c r="I96" s="147"/>
      <c r="J96" s="147"/>
    </row>
    <row r="97" spans="1:10">
      <c r="A97" s="147"/>
      <c r="B97" s="147"/>
      <c r="C97" s="166"/>
      <c r="D97" s="147"/>
      <c r="E97" s="147"/>
      <c r="F97" s="147"/>
      <c r="G97" s="147"/>
      <c r="H97" s="147"/>
      <c r="I97" s="147"/>
      <c r="J97" s="147"/>
    </row>
    <row r="98" spans="1:10">
      <c r="A98" s="147"/>
      <c r="B98" s="147"/>
      <c r="C98" s="166"/>
      <c r="D98" s="147"/>
      <c r="E98" s="147"/>
      <c r="F98" s="147"/>
      <c r="G98" s="147"/>
      <c r="H98" s="147"/>
      <c r="I98" s="147"/>
      <c r="J98" s="147"/>
    </row>
    <row r="99" spans="1:10">
      <c r="A99" s="147"/>
      <c r="B99" s="147"/>
      <c r="C99" s="166"/>
      <c r="D99" s="147"/>
      <c r="E99" s="147"/>
      <c r="F99" s="147"/>
      <c r="G99" s="147"/>
      <c r="H99" s="147"/>
      <c r="I99" s="147"/>
      <c r="J99" s="147"/>
    </row>
    <row r="100" spans="1:10">
      <c r="A100" s="147"/>
      <c r="B100" s="147"/>
      <c r="C100" s="166"/>
      <c r="D100" s="147"/>
      <c r="E100" s="147"/>
      <c r="F100" s="147"/>
      <c r="G100" s="147"/>
      <c r="H100" s="147"/>
      <c r="I100" s="147"/>
      <c r="J100" s="147"/>
    </row>
    <row r="101" spans="1:10">
      <c r="A101" s="147"/>
      <c r="B101" s="147"/>
      <c r="C101" s="166"/>
      <c r="D101" s="147"/>
      <c r="E101" s="147"/>
      <c r="F101" s="147"/>
      <c r="G101" s="147"/>
      <c r="H101" s="147"/>
      <c r="I101" s="147"/>
      <c r="J101" s="147"/>
    </row>
    <row r="102" spans="1:10">
      <c r="A102" s="147"/>
      <c r="B102" s="147"/>
      <c r="C102" s="166"/>
      <c r="D102" s="147"/>
      <c r="E102" s="147"/>
      <c r="F102" s="147"/>
      <c r="G102" s="147"/>
      <c r="H102" s="147"/>
      <c r="I102" s="147"/>
      <c r="J102" s="147"/>
    </row>
    <row r="103" spans="1:10">
      <c r="A103" s="147"/>
      <c r="B103" s="147"/>
      <c r="C103" s="166"/>
      <c r="D103" s="147"/>
      <c r="E103" s="147"/>
      <c r="F103" s="147"/>
      <c r="G103" s="147"/>
      <c r="H103" s="147"/>
      <c r="I103" s="147"/>
      <c r="J103" s="147"/>
    </row>
    <row r="104" spans="1:10">
      <c r="A104" s="147"/>
      <c r="B104" s="147"/>
      <c r="C104" s="166"/>
      <c r="D104" s="147"/>
      <c r="E104" s="147"/>
      <c r="F104" s="147"/>
      <c r="G104" s="147"/>
      <c r="H104" s="147"/>
      <c r="I104" s="147"/>
      <c r="J104" s="147"/>
    </row>
    <row r="105" spans="1:10">
      <c r="A105" s="147"/>
      <c r="B105" s="147"/>
      <c r="C105" s="166"/>
      <c r="D105" s="147"/>
      <c r="E105" s="147"/>
      <c r="F105" s="147"/>
      <c r="G105" s="147"/>
      <c r="H105" s="147"/>
      <c r="I105" s="147"/>
      <c r="J105" s="147"/>
    </row>
    <row r="106" spans="1:10">
      <c r="A106" s="147"/>
      <c r="B106" s="147"/>
      <c r="C106" s="166"/>
      <c r="D106" s="147"/>
      <c r="E106" s="147"/>
      <c r="F106" s="147"/>
      <c r="G106" s="147"/>
      <c r="H106" s="147"/>
      <c r="I106" s="147"/>
      <c r="J106" s="147"/>
    </row>
    <row r="107" spans="1:10">
      <c r="A107" s="147"/>
      <c r="B107" s="147"/>
      <c r="C107" s="166"/>
      <c r="D107" s="147"/>
      <c r="E107" s="147"/>
      <c r="F107" s="147"/>
      <c r="G107" s="147"/>
      <c r="H107" s="147"/>
      <c r="I107" s="147"/>
      <c r="J107" s="147"/>
    </row>
    <row r="108" spans="1:10">
      <c r="A108" s="147"/>
      <c r="B108" s="147"/>
      <c r="C108" s="166"/>
      <c r="D108" s="147"/>
      <c r="E108" s="147"/>
      <c r="F108" s="147"/>
      <c r="G108" s="147"/>
      <c r="H108" s="147"/>
      <c r="I108" s="147"/>
      <c r="J108" s="147"/>
    </row>
    <row r="109" spans="1:10">
      <c r="A109" s="147"/>
      <c r="B109" s="147"/>
      <c r="C109" s="166"/>
      <c r="D109" s="147"/>
      <c r="E109" s="147"/>
      <c r="F109" s="147"/>
      <c r="G109" s="147"/>
      <c r="H109" s="147"/>
      <c r="I109" s="147"/>
      <c r="J109" s="147"/>
    </row>
    <row r="110" spans="1:10">
      <c r="A110" s="147"/>
      <c r="B110" s="147"/>
      <c r="C110" s="166"/>
      <c r="D110" s="147"/>
      <c r="E110" s="147"/>
      <c r="F110" s="147"/>
      <c r="G110" s="147"/>
      <c r="H110" s="147"/>
      <c r="I110" s="147"/>
      <c r="J110" s="147"/>
    </row>
    <row r="111" spans="1:10">
      <c r="A111" s="147"/>
      <c r="B111" s="147"/>
      <c r="C111" s="166"/>
      <c r="D111" s="147"/>
      <c r="E111" s="147"/>
      <c r="F111" s="147"/>
      <c r="G111" s="147"/>
      <c r="H111" s="147"/>
      <c r="I111" s="147"/>
      <c r="J111" s="147"/>
    </row>
    <row r="112" spans="1:10">
      <c r="A112" s="147"/>
      <c r="B112" s="147"/>
      <c r="C112" s="166"/>
      <c r="D112" s="147"/>
      <c r="E112" s="147"/>
      <c r="F112" s="147"/>
      <c r="G112" s="147"/>
      <c r="H112" s="147"/>
      <c r="I112" s="147"/>
      <c r="J112" s="147"/>
    </row>
    <row r="113" spans="1:10">
      <c r="A113" s="147"/>
      <c r="B113" s="147"/>
      <c r="C113" s="166"/>
      <c r="D113" s="147"/>
      <c r="E113" s="147"/>
      <c r="F113" s="147"/>
      <c r="G113" s="147"/>
      <c r="H113" s="147"/>
      <c r="I113" s="147"/>
      <c r="J113" s="147"/>
    </row>
    <row r="114" spans="1:10">
      <c r="A114" s="147"/>
      <c r="B114" s="147"/>
      <c r="C114" s="166"/>
      <c r="D114" s="147"/>
      <c r="E114" s="147"/>
      <c r="F114" s="147"/>
      <c r="G114" s="147"/>
      <c r="H114" s="147"/>
      <c r="I114" s="147"/>
      <c r="J114" s="147"/>
    </row>
    <row r="115" spans="1:10">
      <c r="A115" s="147"/>
      <c r="B115" s="147"/>
      <c r="C115" s="166"/>
      <c r="D115" s="147"/>
      <c r="E115" s="147"/>
      <c r="F115" s="147"/>
      <c r="G115" s="147"/>
      <c r="H115" s="147"/>
      <c r="I115" s="147"/>
      <c r="J115" s="147"/>
    </row>
    <row r="116" spans="1:10">
      <c r="A116" s="147"/>
      <c r="B116" s="147"/>
      <c r="C116" s="166"/>
      <c r="D116" s="147"/>
      <c r="E116" s="147"/>
      <c r="F116" s="147"/>
      <c r="G116" s="147"/>
      <c r="H116" s="147"/>
      <c r="I116" s="147"/>
      <c r="J116" s="147"/>
    </row>
    <row r="117" spans="1:10">
      <c r="A117" s="147"/>
      <c r="B117" s="147"/>
      <c r="C117" s="166"/>
      <c r="D117" s="147"/>
      <c r="E117" s="147"/>
      <c r="F117" s="147"/>
      <c r="G117" s="147"/>
      <c r="H117" s="147"/>
      <c r="I117" s="147"/>
      <c r="J117" s="147"/>
    </row>
    <row r="118" spans="1:10">
      <c r="A118" s="147"/>
      <c r="B118" s="147"/>
      <c r="C118" s="166"/>
      <c r="D118" s="147"/>
      <c r="E118" s="147"/>
      <c r="F118" s="147"/>
      <c r="G118" s="147"/>
      <c r="H118" s="147"/>
      <c r="I118" s="147"/>
      <c r="J118" s="147"/>
    </row>
    <row r="119" spans="1:10">
      <c r="A119" s="147"/>
      <c r="B119" s="147"/>
      <c r="C119" s="166"/>
      <c r="D119" s="147"/>
      <c r="E119" s="147"/>
      <c r="F119" s="147"/>
      <c r="G119" s="147"/>
      <c r="H119" s="147"/>
      <c r="I119" s="147"/>
      <c r="J119" s="147"/>
    </row>
    <row r="120" spans="1:10">
      <c r="A120" s="147"/>
      <c r="B120" s="147"/>
      <c r="C120" s="166"/>
      <c r="D120" s="147"/>
      <c r="E120" s="147"/>
      <c r="F120" s="147"/>
      <c r="G120" s="147"/>
      <c r="H120" s="147"/>
      <c r="I120" s="147"/>
      <c r="J120" s="147"/>
    </row>
    <row r="121" spans="1:10">
      <c r="A121" s="147"/>
      <c r="B121" s="147"/>
      <c r="C121" s="166"/>
      <c r="D121" s="147"/>
      <c r="E121" s="147"/>
      <c r="F121" s="147"/>
      <c r="G121" s="147"/>
      <c r="H121" s="147"/>
      <c r="I121" s="147"/>
      <c r="J121" s="147"/>
    </row>
    <row r="122" spans="1:10">
      <c r="A122" s="147"/>
      <c r="B122" s="147"/>
      <c r="C122" s="166"/>
      <c r="D122" s="147"/>
      <c r="E122" s="147"/>
      <c r="F122" s="147"/>
      <c r="G122" s="147"/>
      <c r="H122" s="147"/>
      <c r="I122" s="147"/>
      <c r="J122" s="147"/>
    </row>
    <row r="123" spans="1:10">
      <c r="A123" s="147"/>
      <c r="B123" s="147"/>
      <c r="C123" s="166"/>
      <c r="D123" s="147"/>
      <c r="E123" s="147"/>
      <c r="F123" s="147"/>
      <c r="G123" s="147"/>
      <c r="H123" s="147"/>
      <c r="I123" s="147"/>
      <c r="J123" s="147"/>
    </row>
    <row r="124" spans="1:10">
      <c r="A124" s="147"/>
      <c r="B124" s="147"/>
      <c r="C124" s="166"/>
      <c r="D124" s="147"/>
      <c r="E124" s="147"/>
      <c r="F124" s="147"/>
      <c r="G124" s="147"/>
      <c r="H124" s="147"/>
      <c r="I124" s="147"/>
      <c r="J124" s="147"/>
    </row>
    <row r="125" spans="1:10">
      <c r="A125" s="147"/>
      <c r="B125" s="147"/>
      <c r="C125" s="166"/>
      <c r="D125" s="147"/>
      <c r="E125" s="147"/>
      <c r="F125" s="147"/>
      <c r="G125" s="147"/>
      <c r="H125" s="147"/>
      <c r="I125" s="147"/>
      <c r="J125" s="147"/>
    </row>
    <row r="126" spans="1:10">
      <c r="A126" s="147"/>
      <c r="B126" s="147"/>
      <c r="C126" s="166"/>
      <c r="D126" s="147"/>
      <c r="E126" s="147"/>
      <c r="F126" s="147"/>
      <c r="G126" s="147"/>
      <c r="H126" s="147"/>
      <c r="I126" s="147"/>
      <c r="J126" s="147"/>
    </row>
    <row r="127" spans="1:10">
      <c r="A127" s="147"/>
      <c r="B127" s="147"/>
      <c r="C127" s="166"/>
      <c r="D127" s="147"/>
      <c r="E127" s="147"/>
      <c r="F127" s="147"/>
      <c r="G127" s="147"/>
      <c r="H127" s="147"/>
      <c r="I127" s="147"/>
      <c r="J127" s="147"/>
    </row>
    <row r="128" spans="1:10">
      <c r="A128" s="147"/>
      <c r="B128" s="147"/>
      <c r="C128" s="166"/>
      <c r="D128" s="147"/>
      <c r="E128" s="147"/>
      <c r="F128" s="147"/>
      <c r="G128" s="147"/>
      <c r="H128" s="147"/>
      <c r="I128" s="147"/>
      <c r="J128" s="147"/>
    </row>
    <row r="129" spans="1:10">
      <c r="A129" s="147"/>
      <c r="B129" s="147"/>
      <c r="C129" s="166"/>
      <c r="D129" s="147"/>
      <c r="E129" s="147"/>
      <c r="F129" s="147"/>
      <c r="G129" s="147"/>
      <c r="H129" s="147"/>
      <c r="I129" s="147"/>
      <c r="J129" s="147"/>
    </row>
    <row r="130" spans="1:10">
      <c r="A130" s="147"/>
      <c r="B130" s="147"/>
      <c r="C130" s="166"/>
      <c r="D130" s="147"/>
      <c r="E130" s="147"/>
      <c r="F130" s="147"/>
      <c r="G130" s="147"/>
      <c r="H130" s="147"/>
      <c r="I130" s="147"/>
      <c r="J130" s="147"/>
    </row>
    <row r="131" spans="1:10">
      <c r="A131" s="147"/>
      <c r="B131" s="147"/>
      <c r="C131" s="166"/>
      <c r="D131" s="147"/>
      <c r="E131" s="147"/>
      <c r="F131" s="147"/>
      <c r="G131" s="147"/>
      <c r="H131" s="147"/>
      <c r="I131" s="147"/>
      <c r="J131" s="147"/>
    </row>
    <row r="132" spans="1:10">
      <c r="A132" s="147"/>
      <c r="B132" s="147"/>
      <c r="C132" s="166"/>
      <c r="D132" s="147"/>
      <c r="E132" s="147"/>
      <c r="F132" s="147"/>
      <c r="G132" s="147"/>
      <c r="H132" s="147"/>
      <c r="I132" s="147"/>
      <c r="J132" s="147"/>
    </row>
    <row r="133" spans="1:10">
      <c r="A133" s="147"/>
      <c r="B133" s="147"/>
      <c r="C133" s="166"/>
      <c r="D133" s="147"/>
      <c r="E133" s="147"/>
      <c r="F133" s="147"/>
      <c r="G133" s="147"/>
      <c r="H133" s="147"/>
      <c r="I133" s="147"/>
      <c r="J133" s="147"/>
    </row>
    <row r="134" spans="1:10">
      <c r="A134" s="147"/>
      <c r="B134" s="147"/>
      <c r="C134" s="166"/>
      <c r="D134" s="147"/>
      <c r="E134" s="147"/>
      <c r="F134" s="147"/>
      <c r="G134" s="147"/>
      <c r="H134" s="147"/>
      <c r="I134" s="147"/>
      <c r="J134" s="147"/>
    </row>
    <row r="135" spans="1:10">
      <c r="A135" s="147"/>
      <c r="B135" s="147"/>
      <c r="C135" s="166"/>
      <c r="D135" s="147"/>
      <c r="E135" s="147"/>
      <c r="F135" s="147"/>
      <c r="G135" s="147"/>
      <c r="H135" s="147"/>
      <c r="I135" s="147"/>
      <c r="J135" s="147"/>
    </row>
    <row r="136" spans="1:10">
      <c r="A136" s="147"/>
      <c r="B136" s="147"/>
      <c r="C136" s="166"/>
      <c r="D136" s="147"/>
      <c r="E136" s="147"/>
      <c r="F136" s="147"/>
      <c r="G136" s="147"/>
      <c r="H136" s="147"/>
      <c r="I136" s="147"/>
      <c r="J136" s="147"/>
    </row>
    <row r="137" spans="1:10">
      <c r="A137" s="147"/>
      <c r="B137" s="147"/>
      <c r="C137" s="166"/>
      <c r="D137" s="147"/>
      <c r="E137" s="147"/>
      <c r="F137" s="147"/>
      <c r="G137" s="147"/>
      <c r="H137" s="147"/>
      <c r="I137" s="147"/>
      <c r="J137" s="147"/>
    </row>
    <row r="138" spans="1:10">
      <c r="A138" s="147"/>
      <c r="B138" s="147"/>
      <c r="C138" s="166"/>
      <c r="D138" s="147"/>
      <c r="E138" s="147"/>
      <c r="F138" s="147"/>
      <c r="G138" s="147"/>
      <c r="H138" s="147"/>
      <c r="I138" s="147"/>
      <c r="J138" s="147"/>
    </row>
    <row r="139" spans="1:10">
      <c r="A139" s="147"/>
      <c r="B139" s="147"/>
      <c r="C139" s="166"/>
      <c r="D139" s="147"/>
      <c r="E139" s="147"/>
      <c r="F139" s="147"/>
      <c r="G139" s="147"/>
      <c r="H139" s="147"/>
      <c r="I139" s="147"/>
      <c r="J139" s="147"/>
    </row>
    <row r="140" spans="1:10">
      <c r="A140" s="147"/>
      <c r="B140" s="147"/>
      <c r="C140" s="166"/>
      <c r="D140" s="147"/>
      <c r="E140" s="147"/>
      <c r="F140" s="147"/>
      <c r="G140" s="147"/>
      <c r="H140" s="147"/>
      <c r="I140" s="147"/>
      <c r="J140" s="147"/>
    </row>
    <row r="141" spans="1:10">
      <c r="A141" s="147"/>
      <c r="B141" s="147"/>
      <c r="C141" s="166"/>
      <c r="D141" s="147"/>
      <c r="E141" s="147"/>
      <c r="F141" s="147"/>
      <c r="G141" s="147"/>
      <c r="H141" s="147"/>
      <c r="I141" s="147"/>
      <c r="J141" s="147"/>
    </row>
    <row r="142" spans="1:10">
      <c r="A142" s="147"/>
      <c r="B142" s="147"/>
      <c r="C142" s="166"/>
      <c r="D142" s="147"/>
      <c r="E142" s="147"/>
      <c r="F142" s="147"/>
      <c r="G142" s="147"/>
      <c r="H142" s="147"/>
      <c r="I142" s="147"/>
      <c r="J142" s="147"/>
    </row>
    <row r="143" spans="1:10">
      <c r="A143" s="147"/>
      <c r="B143" s="147"/>
      <c r="C143" s="166"/>
      <c r="D143" s="147"/>
      <c r="E143" s="147"/>
      <c r="F143" s="147"/>
      <c r="G143" s="147"/>
      <c r="H143" s="147"/>
      <c r="I143" s="147"/>
      <c r="J143" s="147"/>
    </row>
    <row r="144" spans="1:10">
      <c r="A144" s="147"/>
      <c r="B144" s="147"/>
      <c r="C144" s="166"/>
      <c r="D144" s="147"/>
      <c r="E144" s="147"/>
      <c r="F144" s="147"/>
      <c r="G144" s="147"/>
      <c r="H144" s="147"/>
      <c r="I144" s="147"/>
      <c r="J144" s="147"/>
    </row>
    <row r="145" spans="1:10">
      <c r="A145" s="147"/>
      <c r="B145" s="147"/>
      <c r="C145" s="166"/>
      <c r="D145" s="147"/>
      <c r="E145" s="147"/>
      <c r="F145" s="147"/>
      <c r="G145" s="147"/>
      <c r="H145" s="147"/>
      <c r="I145" s="147"/>
      <c r="J145" s="147"/>
    </row>
    <row r="146" spans="1:10">
      <c r="A146" s="147"/>
      <c r="B146" s="147"/>
      <c r="C146" s="166"/>
      <c r="D146" s="147"/>
      <c r="E146" s="147"/>
      <c r="F146" s="147"/>
      <c r="G146" s="147"/>
      <c r="H146" s="147"/>
      <c r="I146" s="147"/>
      <c r="J146" s="147"/>
    </row>
    <row r="147" spans="1:10">
      <c r="A147" s="147"/>
      <c r="B147" s="147"/>
      <c r="C147" s="166"/>
      <c r="D147" s="147"/>
      <c r="E147" s="147"/>
      <c r="F147" s="147"/>
      <c r="G147" s="147"/>
      <c r="H147" s="147"/>
      <c r="I147" s="147"/>
      <c r="J147" s="147"/>
    </row>
    <row r="148" spans="1:10">
      <c r="A148" s="147"/>
      <c r="B148" s="147"/>
      <c r="C148" s="166"/>
      <c r="D148" s="147"/>
      <c r="E148" s="147"/>
      <c r="F148" s="147"/>
      <c r="G148" s="147"/>
      <c r="H148" s="147"/>
      <c r="I148" s="147"/>
      <c r="J148" s="147"/>
    </row>
    <row r="149" spans="1:10">
      <c r="A149" s="147"/>
      <c r="B149" s="147"/>
      <c r="C149" s="166"/>
      <c r="D149" s="147"/>
      <c r="E149" s="147"/>
      <c r="F149" s="147"/>
      <c r="G149" s="147"/>
      <c r="H149" s="147"/>
      <c r="I149" s="147"/>
      <c r="J149" s="147"/>
    </row>
    <row r="150" spans="1:10">
      <c r="A150" s="147"/>
      <c r="B150" s="147"/>
      <c r="C150" s="166"/>
      <c r="D150" s="147"/>
      <c r="E150" s="147"/>
      <c r="F150" s="147"/>
      <c r="G150" s="147"/>
      <c r="H150" s="147"/>
      <c r="I150" s="147"/>
      <c r="J150" s="147"/>
    </row>
    <row r="151" spans="1:10">
      <c r="A151" s="147"/>
      <c r="B151" s="147"/>
      <c r="C151" s="166"/>
      <c r="D151" s="147"/>
      <c r="E151" s="147"/>
      <c r="F151" s="147"/>
      <c r="G151" s="147"/>
      <c r="H151" s="147"/>
      <c r="I151" s="147"/>
      <c r="J151" s="147"/>
    </row>
    <row r="152" spans="1:10">
      <c r="A152" s="147"/>
      <c r="B152" s="147"/>
      <c r="C152" s="166"/>
      <c r="D152" s="147"/>
      <c r="E152" s="147"/>
      <c r="F152" s="147"/>
      <c r="G152" s="147"/>
      <c r="H152" s="147"/>
      <c r="I152" s="147"/>
      <c r="J152" s="147"/>
    </row>
    <row r="153" spans="1:10">
      <c r="A153" s="147"/>
      <c r="B153" s="147"/>
      <c r="C153" s="166"/>
      <c r="D153" s="147"/>
      <c r="E153" s="147"/>
      <c r="F153" s="147"/>
      <c r="G153" s="147"/>
      <c r="H153" s="147"/>
      <c r="I153" s="147"/>
      <c r="J153" s="147"/>
    </row>
    <row r="154" spans="1:10">
      <c r="A154" s="147"/>
      <c r="B154" s="147"/>
      <c r="C154" s="166"/>
      <c r="D154" s="147"/>
      <c r="E154" s="147"/>
      <c r="F154" s="147"/>
      <c r="G154" s="147"/>
      <c r="H154" s="147"/>
      <c r="I154" s="147"/>
      <c r="J154" s="147"/>
    </row>
    <row r="155" spans="1:10">
      <c r="A155" s="147"/>
      <c r="B155" s="147"/>
      <c r="C155" s="166"/>
      <c r="D155" s="147"/>
      <c r="E155" s="147"/>
      <c r="F155" s="147"/>
      <c r="G155" s="147"/>
      <c r="H155" s="147"/>
      <c r="I155" s="147"/>
      <c r="J155" s="147"/>
    </row>
    <row r="156" spans="1:10">
      <c r="A156" s="147"/>
      <c r="B156" s="147"/>
      <c r="C156" s="166"/>
      <c r="D156" s="147"/>
      <c r="E156" s="147"/>
      <c r="F156" s="147"/>
      <c r="G156" s="147"/>
      <c r="H156" s="147"/>
      <c r="I156" s="147"/>
      <c r="J156" s="147"/>
    </row>
    <row r="157" spans="1:10">
      <c r="A157" s="147"/>
      <c r="B157" s="147"/>
      <c r="C157" s="166"/>
      <c r="D157" s="147"/>
      <c r="E157" s="147"/>
      <c r="F157" s="147"/>
      <c r="G157" s="147"/>
      <c r="H157" s="147"/>
      <c r="I157" s="147"/>
      <c r="J157" s="147"/>
    </row>
    <row r="158" spans="1:10">
      <c r="A158" s="147"/>
      <c r="B158" s="147"/>
      <c r="C158" s="166"/>
      <c r="D158" s="147"/>
      <c r="E158" s="147"/>
      <c r="F158" s="147"/>
      <c r="G158" s="147"/>
      <c r="H158" s="147"/>
      <c r="I158" s="147"/>
      <c r="J158" s="147"/>
    </row>
    <row r="159" spans="1:10">
      <c r="A159" s="147"/>
      <c r="B159" s="147"/>
      <c r="C159" s="166"/>
      <c r="D159" s="147"/>
      <c r="E159" s="147"/>
      <c r="F159" s="147"/>
      <c r="G159" s="147"/>
      <c r="H159" s="147"/>
      <c r="I159" s="147"/>
      <c r="J159" s="147"/>
    </row>
    <row r="160" spans="1:10">
      <c r="A160" s="147"/>
      <c r="B160" s="147"/>
      <c r="C160" s="166"/>
      <c r="D160" s="147"/>
      <c r="E160" s="147"/>
      <c r="F160" s="147"/>
      <c r="G160" s="147"/>
      <c r="H160" s="147"/>
      <c r="I160" s="147"/>
      <c r="J160" s="147"/>
    </row>
    <row r="161" spans="1:10">
      <c r="A161" s="147"/>
      <c r="B161" s="147"/>
      <c r="C161" s="166"/>
      <c r="D161" s="147"/>
      <c r="E161" s="147"/>
      <c r="F161" s="147"/>
      <c r="G161" s="147"/>
      <c r="H161" s="147"/>
      <c r="I161" s="147"/>
      <c r="J161" s="147"/>
    </row>
    <row r="162" spans="1:10">
      <c r="A162" s="147"/>
      <c r="B162" s="147"/>
      <c r="C162" s="166"/>
      <c r="D162" s="147"/>
      <c r="E162" s="147"/>
      <c r="F162" s="147"/>
      <c r="G162" s="147"/>
      <c r="H162" s="147"/>
      <c r="I162" s="147"/>
      <c r="J162" s="147"/>
    </row>
    <row r="163" spans="1:10">
      <c r="A163" s="147"/>
      <c r="B163" s="147"/>
      <c r="C163" s="166"/>
      <c r="D163" s="147"/>
      <c r="E163" s="147"/>
      <c r="F163" s="147"/>
      <c r="G163" s="147"/>
      <c r="H163" s="147"/>
      <c r="I163" s="147"/>
      <c r="J163" s="147"/>
    </row>
    <row r="164" spans="1:10">
      <c r="A164" s="147"/>
      <c r="B164" s="147"/>
      <c r="C164" s="166"/>
      <c r="D164" s="147"/>
      <c r="E164" s="147"/>
      <c r="F164" s="147"/>
      <c r="G164" s="147"/>
      <c r="H164" s="147"/>
      <c r="I164" s="147"/>
      <c r="J164" s="147"/>
    </row>
    <row r="165" spans="1:10">
      <c r="A165" s="147"/>
      <c r="B165" s="147"/>
      <c r="C165" s="166"/>
      <c r="D165" s="147"/>
      <c r="E165" s="147"/>
      <c r="F165" s="147"/>
      <c r="G165" s="147"/>
      <c r="H165" s="147"/>
      <c r="I165" s="147"/>
      <c r="J165" s="147"/>
    </row>
    <row r="166" spans="1:10">
      <c r="A166" s="147"/>
      <c r="B166" s="147"/>
      <c r="C166" s="166"/>
      <c r="D166" s="147"/>
      <c r="E166" s="147"/>
      <c r="F166" s="147"/>
      <c r="G166" s="147"/>
      <c r="H166" s="147"/>
      <c r="I166" s="147"/>
      <c r="J166" s="147"/>
    </row>
    <row r="167" spans="1:10">
      <c r="A167" s="147"/>
      <c r="B167" s="147"/>
      <c r="C167" s="166"/>
      <c r="D167" s="147"/>
      <c r="E167" s="147"/>
      <c r="F167" s="147"/>
      <c r="G167" s="147"/>
      <c r="H167" s="147"/>
      <c r="I167" s="147"/>
      <c r="J167" s="147"/>
    </row>
    <row r="168" spans="1:10">
      <c r="A168" s="147"/>
      <c r="B168" s="147"/>
      <c r="C168" s="166"/>
      <c r="D168" s="147"/>
      <c r="E168" s="147"/>
      <c r="F168" s="147"/>
      <c r="G168" s="147"/>
      <c r="H168" s="147"/>
      <c r="I168" s="147"/>
      <c r="J168" s="147"/>
    </row>
    <row r="169" spans="1:10">
      <c r="A169" s="147"/>
      <c r="B169" s="147"/>
      <c r="C169" s="166"/>
      <c r="D169" s="147"/>
      <c r="E169" s="147"/>
      <c r="F169" s="147"/>
      <c r="G169" s="147"/>
      <c r="H169" s="147"/>
      <c r="I169" s="147"/>
      <c r="J169" s="147"/>
    </row>
    <row r="170" spans="1:10">
      <c r="A170" s="147"/>
      <c r="B170" s="147"/>
      <c r="C170" s="166"/>
      <c r="D170" s="147"/>
      <c r="E170" s="147"/>
      <c r="F170" s="147"/>
      <c r="G170" s="147"/>
      <c r="H170" s="147"/>
      <c r="I170" s="147"/>
      <c r="J170" s="147"/>
    </row>
    <row r="171" spans="1:10">
      <c r="A171" s="147"/>
      <c r="B171" s="147"/>
      <c r="C171" s="166"/>
      <c r="D171" s="147"/>
      <c r="E171" s="147"/>
      <c r="F171" s="147"/>
      <c r="G171" s="147"/>
      <c r="H171" s="147"/>
      <c r="I171" s="147"/>
      <c r="J171" s="147"/>
    </row>
    <row r="172" spans="1:10">
      <c r="A172" s="147"/>
      <c r="B172" s="147"/>
      <c r="C172" s="166"/>
      <c r="D172" s="147"/>
      <c r="E172" s="147"/>
      <c r="F172" s="147"/>
      <c r="G172" s="147"/>
      <c r="H172" s="147"/>
      <c r="I172" s="147"/>
      <c r="J172" s="147"/>
    </row>
    <row r="173" spans="1:10">
      <c r="A173" s="147"/>
      <c r="B173" s="147"/>
      <c r="C173" s="166"/>
      <c r="D173" s="147"/>
      <c r="E173" s="147"/>
      <c r="F173" s="147"/>
      <c r="G173" s="147"/>
      <c r="H173" s="147"/>
      <c r="I173" s="147"/>
      <c r="J173" s="147"/>
    </row>
    <row r="174" spans="1:10">
      <c r="A174" s="147"/>
      <c r="B174" s="147"/>
      <c r="C174" s="166"/>
      <c r="D174" s="147"/>
      <c r="E174" s="147"/>
      <c r="F174" s="147"/>
      <c r="G174" s="147"/>
      <c r="H174" s="147"/>
      <c r="I174" s="147"/>
      <c r="J174" s="147"/>
    </row>
    <row r="175" spans="1:10">
      <c r="A175" s="147"/>
      <c r="B175" s="147"/>
      <c r="C175" s="166"/>
      <c r="D175" s="147"/>
      <c r="E175" s="147"/>
      <c r="F175" s="147"/>
      <c r="G175" s="147"/>
      <c r="H175" s="147"/>
      <c r="I175" s="147"/>
      <c r="J175" s="147"/>
    </row>
    <row r="176" spans="1:10">
      <c r="A176" s="147"/>
      <c r="B176" s="147"/>
      <c r="C176" s="166"/>
      <c r="D176" s="147"/>
      <c r="E176" s="147"/>
      <c r="F176" s="147"/>
      <c r="G176" s="147"/>
      <c r="H176" s="147"/>
      <c r="I176" s="147"/>
      <c r="J176" s="147"/>
    </row>
    <row r="177" spans="1:10">
      <c r="A177" s="147"/>
      <c r="B177" s="147"/>
      <c r="C177" s="166"/>
      <c r="D177" s="147"/>
      <c r="E177" s="147"/>
      <c r="F177" s="147"/>
      <c r="G177" s="147"/>
      <c r="H177" s="147"/>
      <c r="I177" s="147"/>
      <c r="J177" s="147"/>
    </row>
    <row r="178" spans="1:10">
      <c r="A178" s="147"/>
      <c r="B178" s="147"/>
      <c r="C178" s="166"/>
      <c r="D178" s="147"/>
      <c r="E178" s="147"/>
      <c r="F178" s="147"/>
      <c r="G178" s="147"/>
      <c r="H178" s="147"/>
      <c r="I178" s="147"/>
      <c r="J178" s="147"/>
    </row>
    <row r="179" spans="1:10">
      <c r="A179" s="147"/>
      <c r="B179" s="147"/>
      <c r="C179" s="166"/>
      <c r="D179" s="147"/>
      <c r="E179" s="147"/>
      <c r="F179" s="147"/>
      <c r="G179" s="147"/>
      <c r="H179" s="147"/>
      <c r="I179" s="147"/>
      <c r="J179" s="147"/>
    </row>
    <row r="180" spans="1:10">
      <c r="A180" s="147"/>
      <c r="B180" s="147"/>
      <c r="C180" s="166"/>
      <c r="D180" s="147"/>
      <c r="E180" s="147"/>
      <c r="F180" s="147"/>
      <c r="G180" s="147"/>
      <c r="H180" s="147"/>
      <c r="I180" s="147"/>
      <c r="J180" s="147"/>
    </row>
    <row r="181" spans="1:10">
      <c r="A181" s="147"/>
      <c r="B181" s="147"/>
      <c r="C181" s="166"/>
      <c r="D181" s="147"/>
      <c r="E181" s="147"/>
      <c r="F181" s="147"/>
      <c r="G181" s="147"/>
      <c r="H181" s="147"/>
      <c r="I181" s="147"/>
      <c r="J181" s="147"/>
    </row>
    <row r="182" spans="1:10">
      <c r="A182" s="147"/>
      <c r="B182" s="147"/>
      <c r="C182" s="166"/>
      <c r="D182" s="147"/>
      <c r="E182" s="147"/>
      <c r="F182" s="147"/>
      <c r="G182" s="147"/>
      <c r="H182" s="147"/>
      <c r="I182" s="147"/>
      <c r="J182" s="147"/>
    </row>
    <row r="183" spans="1:10">
      <c r="A183" s="147"/>
      <c r="B183" s="147"/>
      <c r="C183" s="166"/>
      <c r="D183" s="147"/>
      <c r="E183" s="147"/>
      <c r="F183" s="147"/>
      <c r="G183" s="147"/>
      <c r="H183" s="147"/>
      <c r="I183" s="147"/>
      <c r="J183" s="147"/>
    </row>
    <row r="184" spans="1:10">
      <c r="A184" s="147"/>
      <c r="B184" s="147"/>
      <c r="C184" s="166"/>
      <c r="D184" s="147"/>
      <c r="E184" s="147"/>
      <c r="F184" s="147"/>
      <c r="G184" s="147"/>
      <c r="H184" s="147"/>
      <c r="I184" s="147"/>
      <c r="J184" s="147"/>
    </row>
    <row r="185" spans="1:10">
      <c r="A185" s="147"/>
      <c r="B185" s="147"/>
      <c r="C185" s="166"/>
      <c r="D185" s="147"/>
      <c r="E185" s="147"/>
      <c r="F185" s="147"/>
      <c r="G185" s="147"/>
      <c r="H185" s="147"/>
      <c r="I185" s="147"/>
      <c r="J185" s="147"/>
    </row>
    <row r="186" spans="1:10">
      <c r="A186" s="147"/>
      <c r="B186" s="147"/>
      <c r="C186" s="166"/>
      <c r="D186" s="147"/>
      <c r="E186" s="147"/>
      <c r="F186" s="147"/>
      <c r="G186" s="147"/>
      <c r="H186" s="147"/>
      <c r="I186" s="147"/>
      <c r="J186" s="147"/>
    </row>
    <row r="187" spans="1:10">
      <c r="A187" s="147"/>
      <c r="B187" s="147"/>
      <c r="C187" s="166"/>
      <c r="D187" s="147"/>
      <c r="E187" s="147"/>
      <c r="F187" s="147"/>
      <c r="G187" s="147"/>
      <c r="H187" s="147"/>
      <c r="I187" s="147"/>
      <c r="J187" s="147"/>
    </row>
    <row r="188" spans="1:10">
      <c r="A188" s="147"/>
      <c r="B188" s="147"/>
      <c r="C188" s="166"/>
      <c r="D188" s="147"/>
      <c r="E188" s="147"/>
      <c r="F188" s="147"/>
      <c r="G188" s="147"/>
      <c r="H188" s="147"/>
      <c r="I188" s="147"/>
      <c r="J188" s="147"/>
    </row>
    <row r="189" spans="1:10">
      <c r="A189" s="147"/>
      <c r="B189" s="147"/>
      <c r="C189" s="166"/>
      <c r="D189" s="147"/>
      <c r="E189" s="147"/>
      <c r="F189" s="147"/>
      <c r="G189" s="147"/>
      <c r="H189" s="147"/>
      <c r="I189" s="147"/>
      <c r="J189" s="147"/>
    </row>
    <row r="190" spans="1:10">
      <c r="A190" s="147"/>
      <c r="B190" s="147"/>
      <c r="C190" s="166"/>
      <c r="D190" s="147"/>
      <c r="E190" s="147"/>
      <c r="F190" s="147"/>
      <c r="G190" s="147"/>
      <c r="H190" s="147"/>
      <c r="I190" s="147"/>
      <c r="J190" s="147"/>
    </row>
    <row r="191" spans="1:10">
      <c r="A191" s="147"/>
      <c r="B191" s="147"/>
      <c r="C191" s="166"/>
      <c r="D191" s="147"/>
      <c r="E191" s="147"/>
      <c r="F191" s="147"/>
      <c r="G191" s="147"/>
      <c r="H191" s="147"/>
      <c r="I191" s="147"/>
      <c r="J191" s="147"/>
    </row>
    <row r="192" spans="1:10">
      <c r="A192" s="147"/>
      <c r="B192" s="147"/>
      <c r="C192" s="166"/>
      <c r="D192" s="147"/>
      <c r="E192" s="147"/>
      <c r="F192" s="147"/>
      <c r="G192" s="147"/>
      <c r="H192" s="147"/>
      <c r="I192" s="147"/>
      <c r="J192" s="147"/>
    </row>
    <row r="193" spans="1:10">
      <c r="A193" s="147"/>
      <c r="B193" s="147"/>
      <c r="C193" s="166"/>
      <c r="D193" s="147"/>
      <c r="E193" s="147"/>
      <c r="F193" s="147"/>
      <c r="G193" s="147"/>
      <c r="H193" s="147"/>
      <c r="I193" s="147"/>
      <c r="J193" s="147"/>
    </row>
    <row r="194" spans="1:10">
      <c r="A194" s="147"/>
      <c r="B194" s="147"/>
      <c r="C194" s="166"/>
      <c r="D194" s="147"/>
      <c r="E194" s="147"/>
      <c r="F194" s="147"/>
      <c r="G194" s="147"/>
      <c r="H194" s="147"/>
      <c r="I194" s="147"/>
      <c r="J194" s="147"/>
    </row>
    <row r="195" spans="1:10">
      <c r="A195" s="147"/>
      <c r="B195" s="147"/>
      <c r="C195" s="166"/>
      <c r="D195" s="147"/>
      <c r="E195" s="147"/>
      <c r="F195" s="147"/>
      <c r="G195" s="147"/>
      <c r="H195" s="147"/>
      <c r="I195" s="147"/>
      <c r="J195" s="147"/>
    </row>
    <row r="196" spans="1:10">
      <c r="A196" s="147"/>
      <c r="B196" s="147"/>
      <c r="C196" s="166"/>
      <c r="D196" s="147"/>
      <c r="E196" s="147"/>
      <c r="F196" s="147"/>
      <c r="G196" s="147"/>
      <c r="H196" s="147"/>
      <c r="I196" s="147"/>
      <c r="J196" s="147"/>
    </row>
    <row r="197" spans="1:10">
      <c r="A197" s="147"/>
      <c r="B197" s="147"/>
      <c r="C197" s="166"/>
      <c r="D197" s="147"/>
      <c r="E197" s="147"/>
      <c r="F197" s="147"/>
      <c r="G197" s="147"/>
      <c r="H197" s="147"/>
      <c r="I197" s="147"/>
      <c r="J197" s="147"/>
    </row>
    <row r="198" spans="1:10">
      <c r="A198" s="147"/>
      <c r="B198" s="147"/>
      <c r="C198" s="166"/>
      <c r="D198" s="147"/>
      <c r="E198" s="147"/>
      <c r="F198" s="147"/>
      <c r="G198" s="147"/>
      <c r="H198" s="147"/>
      <c r="I198" s="147"/>
      <c r="J198" s="147"/>
    </row>
    <row r="199" spans="1:10">
      <c r="A199" s="147"/>
      <c r="B199" s="147"/>
      <c r="C199" s="166"/>
      <c r="D199" s="147"/>
      <c r="E199" s="147"/>
      <c r="F199" s="147"/>
      <c r="G199" s="147"/>
      <c r="H199" s="147"/>
      <c r="I199" s="147"/>
      <c r="J199" s="147"/>
    </row>
    <row r="200" spans="1:10">
      <c r="A200" s="147"/>
      <c r="B200" s="147"/>
      <c r="C200" s="166"/>
      <c r="D200" s="147"/>
      <c r="E200" s="147"/>
      <c r="F200" s="147"/>
      <c r="G200" s="147"/>
      <c r="H200" s="147"/>
      <c r="I200" s="147"/>
      <c r="J200" s="147"/>
    </row>
    <row r="201" spans="1:10">
      <c r="A201" s="147"/>
      <c r="B201" s="147"/>
      <c r="C201" s="166"/>
      <c r="D201" s="147"/>
      <c r="E201" s="147"/>
      <c r="F201" s="147"/>
      <c r="G201" s="147"/>
      <c r="H201" s="147"/>
      <c r="I201" s="147"/>
      <c r="J201" s="147"/>
    </row>
    <row r="202" spans="1:10">
      <c r="A202" s="147"/>
      <c r="B202" s="147"/>
      <c r="C202" s="166"/>
      <c r="D202" s="147"/>
      <c r="E202" s="147"/>
      <c r="F202" s="147"/>
      <c r="G202" s="147"/>
      <c r="H202" s="147"/>
      <c r="I202" s="147"/>
      <c r="J202" s="147"/>
    </row>
    <row r="203" spans="1:10">
      <c r="A203" s="147"/>
      <c r="B203" s="147"/>
      <c r="C203" s="166"/>
      <c r="D203" s="147"/>
      <c r="E203" s="147"/>
      <c r="F203" s="147"/>
      <c r="G203" s="147"/>
      <c r="H203" s="147"/>
      <c r="I203" s="147"/>
      <c r="J203" s="147"/>
    </row>
    <row r="204" spans="1:10">
      <c r="A204" s="147"/>
      <c r="B204" s="147"/>
      <c r="C204" s="166"/>
      <c r="D204" s="147"/>
      <c r="E204" s="147"/>
      <c r="F204" s="147"/>
      <c r="G204" s="147"/>
      <c r="H204" s="147"/>
      <c r="I204" s="147"/>
      <c r="J204" s="147"/>
    </row>
    <row r="205" spans="1:10">
      <c r="A205" s="147"/>
      <c r="B205" s="147"/>
      <c r="C205" s="166"/>
      <c r="D205" s="147"/>
      <c r="E205" s="147"/>
      <c r="F205" s="147"/>
      <c r="G205" s="147"/>
      <c r="H205" s="147"/>
      <c r="I205" s="147"/>
      <c r="J205" s="147"/>
    </row>
    <row r="206" spans="1:10">
      <c r="A206" s="147"/>
      <c r="B206" s="147"/>
      <c r="C206" s="166"/>
      <c r="D206" s="147"/>
      <c r="E206" s="147"/>
      <c r="F206" s="147"/>
      <c r="G206" s="147"/>
      <c r="H206" s="147"/>
      <c r="I206" s="147"/>
      <c r="J206" s="147"/>
    </row>
    <row r="207" spans="1:10">
      <c r="A207" s="147"/>
      <c r="B207" s="147"/>
      <c r="C207" s="166"/>
      <c r="D207" s="147"/>
      <c r="E207" s="147"/>
      <c r="F207" s="147"/>
      <c r="G207" s="147"/>
      <c r="H207" s="147"/>
      <c r="I207" s="147"/>
      <c r="J207" s="147"/>
    </row>
    <row r="208" spans="1:10">
      <c r="A208" s="147"/>
      <c r="B208" s="147"/>
      <c r="C208" s="166"/>
      <c r="D208" s="147"/>
      <c r="E208" s="147"/>
      <c r="F208" s="147"/>
      <c r="G208" s="147"/>
      <c r="H208" s="147"/>
      <c r="I208" s="147"/>
      <c r="J208" s="147"/>
    </row>
    <row r="209" spans="1:10">
      <c r="A209" s="147"/>
      <c r="B209" s="147"/>
      <c r="C209" s="166"/>
      <c r="D209" s="147"/>
      <c r="E209" s="147"/>
      <c r="F209" s="147"/>
      <c r="G209" s="147"/>
      <c r="H209" s="147"/>
      <c r="I209" s="147"/>
      <c r="J209" s="147"/>
    </row>
    <row r="210" spans="1:10">
      <c r="A210" s="147"/>
      <c r="B210" s="147"/>
      <c r="C210" s="166"/>
      <c r="D210" s="147"/>
      <c r="E210" s="147"/>
      <c r="F210" s="147"/>
      <c r="G210" s="147"/>
      <c r="H210" s="147"/>
      <c r="I210" s="147"/>
      <c r="J210" s="147"/>
    </row>
    <row r="211" spans="1:10">
      <c r="A211" s="147"/>
      <c r="B211" s="147"/>
      <c r="C211" s="166"/>
      <c r="D211" s="147"/>
      <c r="E211" s="147"/>
      <c r="F211" s="147"/>
      <c r="G211" s="147"/>
      <c r="H211" s="147"/>
      <c r="I211" s="147"/>
      <c r="J211" s="147"/>
    </row>
    <row r="212" spans="1:10">
      <c r="A212" s="147"/>
      <c r="B212" s="147"/>
      <c r="C212" s="166"/>
      <c r="D212" s="147"/>
      <c r="E212" s="147"/>
      <c r="F212" s="147"/>
      <c r="G212" s="147"/>
      <c r="H212" s="147"/>
      <c r="I212" s="147"/>
      <c r="J212" s="147"/>
    </row>
    <row r="213" spans="1:10">
      <c r="A213" s="147"/>
      <c r="B213" s="147"/>
      <c r="C213" s="166"/>
      <c r="D213" s="147"/>
      <c r="E213" s="147"/>
      <c r="F213" s="147"/>
      <c r="G213" s="147"/>
      <c r="H213" s="147"/>
      <c r="I213" s="147"/>
      <c r="J213" s="147"/>
    </row>
    <row r="214" spans="1:10">
      <c r="A214" s="147"/>
      <c r="B214" s="147"/>
      <c r="C214" s="166"/>
      <c r="D214" s="147"/>
      <c r="E214" s="147"/>
      <c r="F214" s="147"/>
      <c r="G214" s="147"/>
      <c r="H214" s="147"/>
      <c r="I214" s="147"/>
      <c r="J214" s="147"/>
    </row>
    <row r="215" spans="1:10">
      <c r="A215" s="147"/>
      <c r="B215" s="147"/>
      <c r="C215" s="166"/>
      <c r="D215" s="147"/>
      <c r="E215" s="147"/>
      <c r="F215" s="147"/>
      <c r="G215" s="147"/>
      <c r="H215" s="147"/>
      <c r="I215" s="147"/>
      <c r="J215" s="147"/>
    </row>
    <row r="216" spans="1:10">
      <c r="A216" s="147"/>
      <c r="B216" s="147"/>
      <c r="C216" s="166"/>
      <c r="D216" s="147"/>
      <c r="E216" s="147"/>
      <c r="F216" s="147"/>
      <c r="G216" s="147"/>
      <c r="H216" s="147"/>
      <c r="I216" s="147"/>
      <c r="J216" s="147"/>
    </row>
    <row r="217" spans="1:10">
      <c r="A217" s="147"/>
      <c r="B217" s="147"/>
      <c r="C217" s="166"/>
      <c r="D217" s="147"/>
      <c r="E217" s="147"/>
      <c r="F217" s="147"/>
      <c r="G217" s="147"/>
      <c r="H217" s="147"/>
      <c r="I217" s="147"/>
      <c r="J217" s="147"/>
    </row>
    <row r="218" spans="1:10">
      <c r="A218" s="147"/>
      <c r="B218" s="147"/>
      <c r="C218" s="166"/>
      <c r="D218" s="147"/>
      <c r="E218" s="147"/>
      <c r="F218" s="147"/>
      <c r="G218" s="147"/>
      <c r="H218" s="147"/>
      <c r="I218" s="147"/>
      <c r="J218" s="147"/>
    </row>
    <row r="219" spans="1:10">
      <c r="A219" s="147"/>
      <c r="B219" s="147"/>
      <c r="C219" s="166"/>
      <c r="D219" s="147"/>
      <c r="E219" s="147"/>
      <c r="F219" s="147"/>
      <c r="G219" s="147"/>
      <c r="H219" s="147"/>
      <c r="I219" s="147"/>
      <c r="J219" s="147"/>
    </row>
    <row r="220" spans="1:10">
      <c r="A220" s="147"/>
      <c r="B220" s="147"/>
      <c r="C220" s="166"/>
      <c r="D220" s="147"/>
      <c r="E220" s="147"/>
      <c r="F220" s="147"/>
      <c r="G220" s="147"/>
      <c r="H220" s="147"/>
      <c r="I220" s="147"/>
      <c r="J220" s="147"/>
    </row>
    <row r="221" spans="1:10">
      <c r="A221" s="147"/>
      <c r="B221" s="147"/>
      <c r="C221" s="166"/>
      <c r="D221" s="147"/>
      <c r="E221" s="147"/>
      <c r="F221" s="147"/>
      <c r="G221" s="147"/>
      <c r="H221" s="147"/>
      <c r="I221" s="147"/>
      <c r="J221" s="147"/>
    </row>
    <row r="222" spans="1:10">
      <c r="A222" s="147"/>
      <c r="B222" s="147"/>
      <c r="C222" s="166"/>
      <c r="D222" s="147"/>
      <c r="E222" s="147"/>
      <c r="F222" s="147"/>
      <c r="G222" s="147"/>
      <c r="H222" s="147"/>
      <c r="I222" s="147"/>
      <c r="J222" s="147"/>
    </row>
    <row r="223" spans="1:10">
      <c r="A223" s="147"/>
      <c r="B223" s="147"/>
      <c r="C223" s="166"/>
      <c r="D223" s="147"/>
      <c r="E223" s="147"/>
      <c r="F223" s="147"/>
      <c r="G223" s="147"/>
      <c r="H223" s="147"/>
      <c r="I223" s="147"/>
      <c r="J223" s="147"/>
    </row>
    <row r="224" spans="1:10">
      <c r="A224" s="147"/>
      <c r="B224" s="147"/>
      <c r="C224" s="166"/>
      <c r="D224" s="147"/>
      <c r="E224" s="147"/>
      <c r="F224" s="147"/>
      <c r="G224" s="147"/>
      <c r="H224" s="147"/>
      <c r="I224" s="147"/>
      <c r="J224" s="147"/>
    </row>
    <row r="225" spans="1:10">
      <c r="A225" s="147"/>
      <c r="B225" s="147"/>
      <c r="C225" s="166"/>
      <c r="D225" s="147"/>
      <c r="E225" s="147"/>
      <c r="F225" s="147"/>
      <c r="G225" s="147"/>
      <c r="H225" s="147"/>
      <c r="I225" s="147"/>
      <c r="J225" s="147"/>
    </row>
    <row r="226" spans="1:10">
      <c r="A226" s="147"/>
      <c r="B226" s="147"/>
      <c r="C226" s="166"/>
      <c r="D226" s="147"/>
      <c r="E226" s="147"/>
      <c r="F226" s="147"/>
      <c r="G226" s="147"/>
      <c r="H226" s="147"/>
      <c r="I226" s="147"/>
      <c r="J226" s="147"/>
    </row>
    <row r="227" spans="1:10">
      <c r="A227" s="147"/>
      <c r="B227" s="147"/>
      <c r="C227" s="166"/>
      <c r="D227" s="147"/>
      <c r="E227" s="147"/>
      <c r="F227" s="147"/>
      <c r="G227" s="147"/>
      <c r="H227" s="147"/>
      <c r="I227" s="147"/>
      <c r="J227" s="147"/>
    </row>
    <row r="228" spans="1:10">
      <c r="A228" s="147"/>
      <c r="B228" s="147"/>
      <c r="C228" s="166"/>
      <c r="D228" s="147"/>
      <c r="E228" s="147"/>
      <c r="F228" s="147"/>
      <c r="G228" s="147"/>
      <c r="H228" s="147"/>
      <c r="I228" s="147"/>
      <c r="J228" s="147"/>
    </row>
    <row r="229" spans="1:10">
      <c r="A229" s="147"/>
      <c r="B229" s="147"/>
      <c r="C229" s="166"/>
      <c r="D229" s="147"/>
      <c r="E229" s="147"/>
      <c r="F229" s="147"/>
      <c r="G229" s="147"/>
      <c r="H229" s="147"/>
      <c r="I229" s="147"/>
      <c r="J229" s="147"/>
    </row>
    <row r="230" spans="1:10">
      <c r="A230" s="147"/>
      <c r="B230" s="147"/>
      <c r="C230" s="166"/>
      <c r="D230" s="147"/>
      <c r="E230" s="147"/>
      <c r="F230" s="147"/>
      <c r="G230" s="147"/>
      <c r="H230" s="147"/>
      <c r="I230" s="147"/>
      <c r="J230" s="147"/>
    </row>
    <row r="231" spans="1:10">
      <c r="A231" s="147"/>
      <c r="B231" s="147"/>
      <c r="C231" s="166"/>
      <c r="D231" s="147"/>
      <c r="E231" s="147"/>
      <c r="F231" s="147"/>
      <c r="G231" s="147"/>
      <c r="H231" s="147"/>
      <c r="I231" s="147"/>
      <c r="J231" s="147"/>
    </row>
    <row r="232" spans="1:10">
      <c r="A232" s="147"/>
      <c r="B232" s="147"/>
      <c r="C232" s="166"/>
      <c r="D232" s="147"/>
      <c r="E232" s="147"/>
      <c r="F232" s="147"/>
      <c r="G232" s="147"/>
      <c r="H232" s="147"/>
      <c r="I232" s="147"/>
      <c r="J232" s="147"/>
    </row>
    <row r="233" spans="1:10">
      <c r="A233" s="147"/>
      <c r="B233" s="147"/>
      <c r="C233" s="166"/>
      <c r="D233" s="147"/>
      <c r="E233" s="147"/>
      <c r="F233" s="147"/>
      <c r="G233" s="147"/>
      <c r="H233" s="147"/>
      <c r="I233" s="147"/>
      <c r="J233" s="147"/>
    </row>
    <row r="234" spans="1:10">
      <c r="A234" s="147"/>
      <c r="B234" s="147"/>
      <c r="C234" s="166"/>
      <c r="D234" s="147"/>
      <c r="E234" s="147"/>
      <c r="F234" s="147"/>
      <c r="G234" s="147"/>
      <c r="H234" s="147"/>
      <c r="I234" s="147"/>
      <c r="J234" s="147"/>
    </row>
    <row r="235" spans="1:10">
      <c r="A235" s="147"/>
      <c r="B235" s="147"/>
      <c r="C235" s="166"/>
      <c r="D235" s="147"/>
      <c r="E235" s="147"/>
      <c r="F235" s="147"/>
      <c r="G235" s="147"/>
      <c r="H235" s="147"/>
      <c r="I235" s="147"/>
      <c r="J235" s="147"/>
    </row>
    <row r="236" spans="1:10">
      <c r="A236" s="147"/>
      <c r="B236" s="147"/>
      <c r="C236" s="166"/>
      <c r="D236" s="147"/>
      <c r="E236" s="147"/>
      <c r="F236" s="147"/>
      <c r="G236" s="147"/>
      <c r="H236" s="147"/>
      <c r="I236" s="147"/>
      <c r="J236" s="147"/>
    </row>
    <row r="237" spans="1:10">
      <c r="A237" s="147"/>
      <c r="B237" s="147"/>
      <c r="C237" s="166"/>
      <c r="D237" s="147"/>
      <c r="E237" s="147"/>
      <c r="F237" s="147"/>
      <c r="G237" s="147"/>
      <c r="H237" s="147"/>
      <c r="I237" s="147"/>
      <c r="J237" s="147"/>
    </row>
    <row r="238" spans="1:10">
      <c r="A238" s="147"/>
      <c r="B238" s="147"/>
      <c r="C238" s="166"/>
      <c r="D238" s="147"/>
      <c r="E238" s="147"/>
      <c r="F238" s="147"/>
      <c r="G238" s="147"/>
      <c r="H238" s="147"/>
      <c r="I238" s="147"/>
      <c r="J238" s="147"/>
    </row>
    <row r="239" spans="1:10">
      <c r="A239" s="147"/>
      <c r="B239" s="147"/>
      <c r="C239" s="166"/>
      <c r="D239" s="147"/>
      <c r="E239" s="147"/>
      <c r="F239" s="147"/>
      <c r="G239" s="147"/>
      <c r="H239" s="147"/>
      <c r="I239" s="147"/>
      <c r="J239" s="147"/>
    </row>
    <row r="240" spans="1:10">
      <c r="A240" s="147"/>
      <c r="B240" s="147"/>
      <c r="C240" s="166"/>
      <c r="D240" s="147"/>
      <c r="E240" s="147"/>
      <c r="F240" s="147"/>
      <c r="G240" s="147"/>
      <c r="H240" s="147"/>
      <c r="I240" s="147"/>
      <c r="J240" s="147"/>
    </row>
    <row r="241" spans="1:10">
      <c r="A241" s="147"/>
      <c r="B241" s="147"/>
      <c r="C241" s="166"/>
      <c r="D241" s="147"/>
      <c r="E241" s="147"/>
      <c r="F241" s="147"/>
      <c r="G241" s="147"/>
      <c r="H241" s="147"/>
      <c r="I241" s="147"/>
      <c r="J241" s="147"/>
    </row>
    <row r="242" spans="1:10">
      <c r="A242" s="147"/>
      <c r="B242" s="147"/>
      <c r="C242" s="166"/>
      <c r="D242" s="147"/>
      <c r="E242" s="147"/>
      <c r="F242" s="147"/>
      <c r="G242" s="147"/>
      <c r="H242" s="147"/>
      <c r="I242" s="147"/>
      <c r="J242" s="147"/>
    </row>
    <row r="243" spans="1:10">
      <c r="A243" s="147"/>
      <c r="B243" s="147"/>
      <c r="C243" s="166"/>
      <c r="D243" s="147"/>
      <c r="E243" s="147"/>
      <c r="F243" s="147"/>
      <c r="G243" s="147"/>
      <c r="H243" s="147"/>
      <c r="I243" s="147"/>
      <c r="J243" s="147"/>
    </row>
    <row r="244" spans="1:10">
      <c r="A244" s="147"/>
      <c r="B244" s="147"/>
      <c r="C244" s="166"/>
      <c r="D244" s="147"/>
      <c r="E244" s="147"/>
      <c r="F244" s="147"/>
      <c r="G244" s="147"/>
      <c r="H244" s="147"/>
      <c r="I244" s="147"/>
      <c r="J244" s="147"/>
    </row>
    <row r="245" spans="1:10">
      <c r="A245" s="147"/>
      <c r="B245" s="147"/>
      <c r="C245" s="166"/>
      <c r="D245" s="147"/>
      <c r="E245" s="147"/>
      <c r="F245" s="147"/>
      <c r="G245" s="147"/>
      <c r="H245" s="147"/>
      <c r="I245" s="147"/>
      <c r="J245" s="147"/>
    </row>
    <row r="246" spans="1:10">
      <c r="A246" s="147"/>
      <c r="B246" s="147"/>
      <c r="C246" s="166"/>
      <c r="D246" s="147"/>
      <c r="E246" s="147"/>
      <c r="F246" s="147"/>
      <c r="G246" s="147"/>
      <c r="H246" s="147"/>
      <c r="I246" s="147"/>
      <c r="J246" s="147"/>
    </row>
    <row r="247" spans="1:10">
      <c r="A247" s="147"/>
      <c r="B247" s="147"/>
      <c r="C247" s="166"/>
      <c r="D247" s="147"/>
      <c r="E247" s="147"/>
      <c r="F247" s="147"/>
      <c r="G247" s="147"/>
      <c r="H247" s="147"/>
      <c r="I247" s="147"/>
      <c r="J247" s="147"/>
    </row>
    <row r="248" spans="1:10">
      <c r="A248" s="147"/>
      <c r="B248" s="147"/>
      <c r="C248" s="166"/>
      <c r="D248" s="147"/>
      <c r="E248" s="147"/>
      <c r="F248" s="147"/>
      <c r="G248" s="147"/>
      <c r="H248" s="147"/>
      <c r="I248" s="147"/>
      <c r="J248" s="147"/>
    </row>
    <row r="249" spans="1:10">
      <c r="A249" s="147"/>
      <c r="B249" s="147"/>
      <c r="C249" s="166"/>
      <c r="D249" s="147"/>
      <c r="E249" s="147"/>
      <c r="F249" s="147"/>
      <c r="G249" s="147"/>
      <c r="H249" s="147"/>
      <c r="I249" s="147"/>
      <c r="J249" s="147"/>
    </row>
    <row r="250" spans="1:10">
      <c r="A250" s="147"/>
      <c r="B250" s="147"/>
      <c r="C250" s="166"/>
      <c r="D250" s="147"/>
      <c r="E250" s="147"/>
      <c r="F250" s="147"/>
      <c r="G250" s="147"/>
      <c r="H250" s="147"/>
      <c r="I250" s="147"/>
      <c r="J250" s="147"/>
    </row>
    <row r="251" spans="1:10">
      <c r="A251" s="147"/>
      <c r="B251" s="147"/>
      <c r="C251" s="166"/>
      <c r="D251" s="147"/>
      <c r="E251" s="147"/>
      <c r="F251" s="147"/>
      <c r="G251" s="147"/>
      <c r="H251" s="147"/>
      <c r="I251" s="147"/>
      <c r="J251" s="147"/>
    </row>
    <row r="252" spans="1:10">
      <c r="A252" s="147"/>
      <c r="B252" s="147"/>
      <c r="C252" s="166"/>
      <c r="D252" s="147"/>
      <c r="E252" s="147"/>
      <c r="F252" s="147"/>
      <c r="G252" s="147"/>
      <c r="H252" s="147"/>
      <c r="I252" s="147"/>
      <c r="J252" s="147"/>
    </row>
    <row r="253" spans="1:10">
      <c r="A253" s="147"/>
      <c r="B253" s="147"/>
      <c r="C253" s="166"/>
      <c r="D253" s="147"/>
      <c r="E253" s="147"/>
      <c r="F253" s="147"/>
      <c r="G253" s="147"/>
      <c r="H253" s="147"/>
      <c r="I253" s="147"/>
      <c r="J253" s="147"/>
    </row>
    <row r="254" spans="1:10">
      <c r="A254" s="147"/>
      <c r="B254" s="147"/>
      <c r="C254" s="166"/>
      <c r="D254" s="147"/>
      <c r="E254" s="147"/>
      <c r="F254" s="147"/>
      <c r="G254" s="147"/>
      <c r="H254" s="147"/>
      <c r="I254" s="147"/>
      <c r="J254" s="147"/>
    </row>
    <row r="255" spans="1:10">
      <c r="A255" s="147"/>
      <c r="B255" s="147"/>
      <c r="C255" s="166"/>
      <c r="D255" s="147"/>
      <c r="E255" s="147"/>
      <c r="F255" s="147"/>
      <c r="G255" s="147"/>
      <c r="H255" s="147"/>
      <c r="I255" s="147"/>
      <c r="J255" s="147"/>
    </row>
    <row r="256" spans="1:10">
      <c r="A256" s="147"/>
      <c r="B256" s="147"/>
      <c r="C256" s="166"/>
      <c r="D256" s="147"/>
      <c r="E256" s="147"/>
      <c r="F256" s="147"/>
      <c r="G256" s="147"/>
      <c r="H256" s="147"/>
      <c r="I256" s="147"/>
      <c r="J256" s="147"/>
    </row>
    <row r="257" spans="1:10">
      <c r="A257" s="147"/>
      <c r="B257" s="147"/>
      <c r="C257" s="166"/>
      <c r="D257" s="147"/>
      <c r="E257" s="147"/>
      <c r="F257" s="147"/>
      <c r="G257" s="147"/>
      <c r="H257" s="147"/>
      <c r="I257" s="147"/>
      <c r="J257" s="147"/>
    </row>
    <row r="258" spans="1:10">
      <c r="A258" s="147"/>
      <c r="B258" s="147"/>
      <c r="C258" s="166"/>
      <c r="D258" s="147"/>
      <c r="E258" s="147"/>
      <c r="F258" s="147"/>
      <c r="G258" s="147"/>
      <c r="H258" s="147"/>
      <c r="I258" s="147"/>
      <c r="J258" s="147"/>
    </row>
    <row r="259" spans="1:10">
      <c r="A259" s="147"/>
      <c r="B259" s="147"/>
      <c r="C259" s="166"/>
      <c r="D259" s="147"/>
      <c r="E259" s="147"/>
      <c r="F259" s="147"/>
      <c r="G259" s="147"/>
      <c r="H259" s="147"/>
      <c r="I259" s="147"/>
      <c r="J259" s="147"/>
    </row>
    <row r="260" spans="1:10">
      <c r="A260" s="147"/>
      <c r="B260" s="147"/>
      <c r="C260" s="166"/>
      <c r="D260" s="147"/>
      <c r="E260" s="147"/>
      <c r="F260" s="147"/>
      <c r="G260" s="147"/>
      <c r="H260" s="147"/>
      <c r="I260" s="147"/>
      <c r="J260" s="147"/>
    </row>
    <row r="261" spans="1:10">
      <c r="A261" s="147"/>
      <c r="B261" s="147"/>
      <c r="C261" s="166"/>
      <c r="D261" s="147"/>
      <c r="E261" s="147"/>
      <c r="F261" s="147"/>
      <c r="G261" s="147"/>
      <c r="H261" s="147"/>
      <c r="I261" s="147"/>
      <c r="J261" s="147"/>
    </row>
    <row r="262" spans="1:10">
      <c r="A262" s="147"/>
      <c r="B262" s="147"/>
      <c r="C262" s="166"/>
      <c r="D262" s="147"/>
      <c r="E262" s="147"/>
      <c r="F262" s="147"/>
      <c r="G262" s="147"/>
      <c r="H262" s="147"/>
      <c r="I262" s="147"/>
      <c r="J262" s="147"/>
    </row>
    <row r="263" spans="1:10">
      <c r="A263" s="147"/>
      <c r="B263" s="147"/>
      <c r="C263" s="166"/>
      <c r="D263" s="147"/>
      <c r="E263" s="147"/>
      <c r="F263" s="147"/>
      <c r="G263" s="147"/>
      <c r="H263" s="147"/>
      <c r="I263" s="147"/>
      <c r="J263" s="147"/>
    </row>
    <row r="264" spans="1:10">
      <c r="A264" s="147"/>
      <c r="B264" s="147"/>
      <c r="C264" s="166"/>
      <c r="D264" s="147"/>
      <c r="E264" s="147"/>
      <c r="F264" s="147"/>
      <c r="G264" s="147"/>
      <c r="H264" s="147"/>
      <c r="I264" s="147"/>
      <c r="J264" s="147"/>
    </row>
    <row r="265" spans="1:10">
      <c r="A265" s="147"/>
      <c r="B265" s="147"/>
      <c r="C265" s="166"/>
      <c r="D265" s="147"/>
      <c r="E265" s="147"/>
      <c r="F265" s="147"/>
      <c r="G265" s="147"/>
      <c r="H265" s="147"/>
      <c r="I265" s="147"/>
      <c r="J265" s="147"/>
    </row>
    <row r="266" spans="1:10">
      <c r="A266" s="147"/>
      <c r="B266" s="147"/>
      <c r="C266" s="166"/>
      <c r="D266" s="147"/>
      <c r="E266" s="147"/>
      <c r="F266" s="147"/>
      <c r="G266" s="147"/>
      <c r="H266" s="147"/>
      <c r="I266" s="147"/>
      <c r="J266" s="147"/>
    </row>
    <row r="267" spans="1:10">
      <c r="A267" s="147"/>
      <c r="B267" s="147"/>
      <c r="C267" s="166"/>
      <c r="D267" s="147"/>
      <c r="E267" s="147"/>
      <c r="F267" s="147"/>
      <c r="G267" s="147"/>
      <c r="H267" s="147"/>
      <c r="I267" s="147"/>
      <c r="J267" s="147"/>
    </row>
    <row r="268" spans="1:10">
      <c r="A268" s="147"/>
      <c r="B268" s="147"/>
      <c r="C268" s="166"/>
      <c r="D268" s="147"/>
      <c r="E268" s="147"/>
      <c r="F268" s="147"/>
      <c r="G268" s="147"/>
      <c r="H268" s="147"/>
      <c r="I268" s="147"/>
      <c r="J268" s="147"/>
    </row>
    <row r="269" spans="1:10">
      <c r="A269" s="147"/>
      <c r="B269" s="147"/>
      <c r="C269" s="166"/>
      <c r="D269" s="147"/>
      <c r="E269" s="147"/>
      <c r="F269" s="147"/>
      <c r="G269" s="147"/>
      <c r="H269" s="147"/>
      <c r="I269" s="147"/>
      <c r="J269" s="147"/>
    </row>
    <row r="270" spans="1:10">
      <c r="A270" s="147"/>
      <c r="B270" s="147"/>
      <c r="C270" s="166"/>
      <c r="D270" s="147"/>
      <c r="E270" s="147"/>
      <c r="F270" s="147"/>
      <c r="G270" s="147"/>
      <c r="H270" s="147"/>
      <c r="I270" s="147"/>
      <c r="J270" s="147"/>
    </row>
    <row r="271" spans="1:10">
      <c r="A271" s="147"/>
      <c r="B271" s="147"/>
      <c r="C271" s="166"/>
      <c r="D271" s="147"/>
      <c r="E271" s="147"/>
      <c r="F271" s="147"/>
      <c r="G271" s="147"/>
      <c r="H271" s="147"/>
      <c r="I271" s="147"/>
      <c r="J271" s="147"/>
    </row>
    <row r="272" spans="1:10">
      <c r="A272" s="147"/>
      <c r="B272" s="147"/>
      <c r="C272" s="166"/>
      <c r="D272" s="147"/>
      <c r="E272" s="147"/>
      <c r="F272" s="147"/>
      <c r="G272" s="147"/>
      <c r="H272" s="147"/>
      <c r="I272" s="147"/>
      <c r="J272" s="147"/>
    </row>
    <row r="273" spans="1:10">
      <c r="A273" s="147"/>
      <c r="B273" s="147"/>
      <c r="C273" s="166"/>
      <c r="D273" s="147"/>
      <c r="E273" s="147"/>
      <c r="F273" s="147"/>
      <c r="G273" s="147"/>
      <c r="H273" s="147"/>
      <c r="I273" s="147"/>
      <c r="J273" s="147"/>
    </row>
    <row r="274" spans="1:10">
      <c r="A274" s="147"/>
      <c r="B274" s="147"/>
      <c r="C274" s="166"/>
      <c r="D274" s="147"/>
      <c r="E274" s="147"/>
      <c r="F274" s="147"/>
      <c r="G274" s="147"/>
      <c r="H274" s="147"/>
      <c r="I274" s="147"/>
      <c r="J274" s="147"/>
    </row>
    <row r="275" spans="1:10">
      <c r="A275" s="147"/>
      <c r="B275" s="147"/>
      <c r="C275" s="166"/>
      <c r="D275" s="147"/>
      <c r="E275" s="147"/>
      <c r="F275" s="147"/>
      <c r="G275" s="147"/>
      <c r="H275" s="147"/>
      <c r="I275" s="147"/>
      <c r="J275" s="147"/>
    </row>
    <row r="276" spans="1:10">
      <c r="A276" s="147"/>
      <c r="B276" s="147"/>
      <c r="C276" s="166"/>
      <c r="D276" s="147"/>
      <c r="E276" s="147"/>
      <c r="F276" s="147"/>
      <c r="G276" s="147"/>
      <c r="H276" s="147"/>
      <c r="I276" s="147"/>
      <c r="J276" s="147"/>
    </row>
    <row r="277" spans="1:10">
      <c r="A277" s="147"/>
      <c r="B277" s="147"/>
      <c r="C277" s="166"/>
      <c r="D277" s="147"/>
      <c r="E277" s="147"/>
      <c r="F277" s="147"/>
      <c r="G277" s="147"/>
      <c r="H277" s="147"/>
      <c r="I277" s="147"/>
      <c r="J277" s="147"/>
    </row>
    <row r="278" spans="1:10">
      <c r="A278" s="147"/>
      <c r="B278" s="147"/>
      <c r="C278" s="166"/>
      <c r="D278" s="147"/>
      <c r="E278" s="147"/>
      <c r="F278" s="147"/>
      <c r="G278" s="147"/>
      <c r="H278" s="147"/>
      <c r="I278" s="147"/>
      <c r="J278" s="147"/>
    </row>
    <row r="279" spans="1:10">
      <c r="A279" s="147"/>
      <c r="B279" s="147"/>
      <c r="C279" s="166"/>
      <c r="D279" s="147"/>
      <c r="E279" s="147"/>
      <c r="F279" s="147"/>
      <c r="G279" s="147"/>
      <c r="H279" s="147"/>
      <c r="I279" s="147"/>
      <c r="J279" s="147"/>
    </row>
    <row r="280" spans="1:10">
      <c r="A280" s="147"/>
      <c r="B280" s="147"/>
      <c r="C280" s="166"/>
      <c r="D280" s="147"/>
      <c r="E280" s="147"/>
      <c r="F280" s="147"/>
      <c r="G280" s="147"/>
      <c r="H280" s="147"/>
      <c r="I280" s="147"/>
      <c r="J280" s="147"/>
    </row>
    <row r="281" spans="1:10">
      <c r="A281" s="147"/>
      <c r="B281" s="147"/>
      <c r="C281" s="166"/>
      <c r="D281" s="147"/>
      <c r="E281" s="147"/>
      <c r="F281" s="147"/>
      <c r="G281" s="147"/>
      <c r="H281" s="147"/>
      <c r="I281" s="147"/>
      <c r="J281" s="147"/>
    </row>
    <row r="282" spans="1:10">
      <c r="A282" s="147"/>
      <c r="B282" s="147"/>
      <c r="C282" s="166"/>
      <c r="D282" s="147"/>
      <c r="E282" s="147"/>
      <c r="F282" s="147"/>
      <c r="G282" s="147"/>
      <c r="H282" s="147"/>
      <c r="I282" s="147"/>
      <c r="J282" s="147"/>
    </row>
    <row r="283" spans="1:10">
      <c r="A283" s="147"/>
      <c r="B283" s="147"/>
      <c r="C283" s="166"/>
      <c r="D283" s="147"/>
      <c r="E283" s="147"/>
      <c r="F283" s="147"/>
      <c r="G283" s="147"/>
      <c r="H283" s="147"/>
      <c r="I283" s="147"/>
      <c r="J283" s="147"/>
    </row>
    <row r="284" spans="1:10">
      <c r="A284" s="147"/>
      <c r="B284" s="147"/>
      <c r="C284" s="166"/>
      <c r="D284" s="147"/>
      <c r="E284" s="147"/>
      <c r="F284" s="147"/>
      <c r="G284" s="147"/>
      <c r="H284" s="147"/>
      <c r="I284" s="147"/>
      <c r="J284" s="147"/>
    </row>
    <row r="285" spans="1:10">
      <c r="A285" s="147"/>
      <c r="B285" s="147"/>
      <c r="C285" s="166"/>
      <c r="D285" s="147"/>
      <c r="E285" s="147"/>
      <c r="F285" s="147"/>
      <c r="G285" s="147"/>
      <c r="H285" s="147"/>
      <c r="I285" s="147"/>
      <c r="J285" s="147"/>
    </row>
    <row r="286" spans="1:10">
      <c r="A286" s="147"/>
      <c r="B286" s="147"/>
      <c r="C286" s="166"/>
      <c r="D286" s="147"/>
      <c r="E286" s="147"/>
      <c r="F286" s="147"/>
      <c r="G286" s="147"/>
      <c r="H286" s="147"/>
      <c r="I286" s="147"/>
      <c r="J286" s="147"/>
    </row>
    <row r="287" spans="1:10">
      <c r="A287" s="147"/>
      <c r="B287" s="147"/>
      <c r="C287" s="166"/>
      <c r="D287" s="147"/>
      <c r="E287" s="147"/>
      <c r="F287" s="147"/>
      <c r="G287" s="147"/>
      <c r="H287" s="147"/>
      <c r="I287" s="147"/>
      <c r="J287" s="147"/>
    </row>
    <row r="288" spans="1:10">
      <c r="A288" s="147"/>
      <c r="B288" s="147"/>
      <c r="C288" s="166"/>
      <c r="D288" s="147"/>
      <c r="E288" s="147"/>
      <c r="F288" s="147"/>
      <c r="G288" s="147"/>
      <c r="H288" s="147"/>
      <c r="I288" s="147"/>
      <c r="J288" s="147"/>
    </row>
    <row r="289" spans="1:10">
      <c r="A289" s="147"/>
      <c r="B289" s="147"/>
      <c r="C289" s="166"/>
      <c r="D289" s="147"/>
      <c r="E289" s="147"/>
      <c r="F289" s="147"/>
      <c r="G289" s="147"/>
      <c r="H289" s="147"/>
      <c r="I289" s="147"/>
      <c r="J289" s="147"/>
    </row>
    <row r="290" spans="1:10">
      <c r="A290" s="147"/>
      <c r="B290" s="147"/>
      <c r="C290" s="166"/>
      <c r="D290" s="147"/>
      <c r="E290" s="147"/>
      <c r="F290" s="147"/>
      <c r="G290" s="147"/>
      <c r="H290" s="147"/>
      <c r="I290" s="147"/>
      <c r="J290" s="147"/>
    </row>
    <row r="291" spans="1:10">
      <c r="A291" s="147"/>
      <c r="B291" s="147"/>
      <c r="C291" s="166"/>
      <c r="D291" s="147"/>
      <c r="E291" s="147"/>
      <c r="F291" s="147"/>
      <c r="G291" s="147"/>
      <c r="H291" s="147"/>
      <c r="I291" s="147"/>
      <c r="J291" s="147"/>
    </row>
    <row r="292" spans="1:10">
      <c r="A292" s="147"/>
      <c r="B292" s="147"/>
      <c r="C292" s="166"/>
      <c r="D292" s="147"/>
      <c r="E292" s="147"/>
      <c r="F292" s="147"/>
      <c r="G292" s="147"/>
      <c r="H292" s="147"/>
      <c r="I292" s="147"/>
      <c r="J292" s="147"/>
    </row>
    <row r="293" spans="1:10">
      <c r="A293" s="147"/>
      <c r="B293" s="147"/>
      <c r="C293" s="166"/>
      <c r="D293" s="147"/>
      <c r="E293" s="147"/>
      <c r="F293" s="147"/>
      <c r="G293" s="147"/>
      <c r="H293" s="147"/>
      <c r="I293" s="147"/>
      <c r="J293" s="147"/>
    </row>
    <row r="294" spans="1:10">
      <c r="A294" s="147"/>
      <c r="B294" s="147"/>
      <c r="C294" s="166"/>
      <c r="D294" s="147"/>
      <c r="E294" s="147"/>
      <c r="F294" s="147"/>
      <c r="G294" s="147"/>
      <c r="H294" s="147"/>
      <c r="I294" s="147"/>
      <c r="J294" s="147"/>
    </row>
    <row r="295" spans="1:10">
      <c r="A295" s="147"/>
      <c r="B295" s="147"/>
      <c r="C295" s="166"/>
      <c r="D295" s="147"/>
      <c r="E295" s="147"/>
      <c r="F295" s="147"/>
      <c r="G295" s="147"/>
      <c r="H295" s="147"/>
      <c r="I295" s="147"/>
      <c r="J295" s="147"/>
    </row>
    <row r="296" spans="1:10">
      <c r="A296" s="147"/>
      <c r="B296" s="147"/>
      <c r="C296" s="166"/>
      <c r="D296" s="147"/>
      <c r="E296" s="147"/>
      <c r="F296" s="147"/>
      <c r="G296" s="147"/>
      <c r="H296" s="147"/>
      <c r="I296" s="147"/>
      <c r="J296" s="147"/>
    </row>
    <row r="297" spans="1:10">
      <c r="A297" s="147"/>
      <c r="B297" s="147"/>
      <c r="C297" s="166"/>
      <c r="D297" s="147"/>
      <c r="E297" s="147"/>
      <c r="F297" s="147"/>
      <c r="G297" s="147"/>
      <c r="H297" s="147"/>
      <c r="I297" s="147"/>
      <c r="J297" s="147"/>
    </row>
    <row r="298" spans="1:10">
      <c r="A298" s="147"/>
      <c r="B298" s="147"/>
      <c r="C298" s="166"/>
      <c r="D298" s="147"/>
      <c r="E298" s="147"/>
      <c r="F298" s="147"/>
      <c r="G298" s="147"/>
      <c r="H298" s="147"/>
      <c r="I298" s="147"/>
      <c r="J298" s="147"/>
    </row>
    <row r="299" spans="1:10">
      <c r="A299" s="147"/>
      <c r="B299" s="147"/>
      <c r="C299" s="166"/>
      <c r="D299" s="147"/>
      <c r="E299" s="147"/>
      <c r="F299" s="147"/>
      <c r="G299" s="147"/>
      <c r="H299" s="147"/>
      <c r="I299" s="147"/>
      <c r="J299" s="147"/>
    </row>
    <row r="300" spans="1:10">
      <c r="A300" s="147"/>
      <c r="B300" s="147"/>
      <c r="C300" s="166"/>
      <c r="D300" s="147"/>
      <c r="E300" s="147"/>
      <c r="F300" s="147"/>
      <c r="G300" s="147"/>
      <c r="H300" s="147"/>
      <c r="I300" s="147"/>
      <c r="J300" s="147"/>
    </row>
    <row r="301" spans="1:10">
      <c r="A301" s="147"/>
      <c r="B301" s="147"/>
      <c r="C301" s="166"/>
      <c r="D301" s="147"/>
      <c r="E301" s="147"/>
      <c r="F301" s="147"/>
      <c r="G301" s="147"/>
      <c r="H301" s="147"/>
      <c r="I301" s="147"/>
      <c r="J301" s="147"/>
    </row>
    <row r="302" spans="1:10">
      <c r="A302" s="147"/>
      <c r="B302" s="147"/>
      <c r="C302" s="166"/>
      <c r="D302" s="147"/>
      <c r="E302" s="147"/>
      <c r="F302" s="147"/>
      <c r="G302" s="147"/>
      <c r="H302" s="147"/>
      <c r="I302" s="147"/>
      <c r="J302" s="147"/>
    </row>
    <row r="303" spans="1:10">
      <c r="A303" s="147"/>
      <c r="B303" s="147"/>
      <c r="C303" s="166"/>
      <c r="D303" s="147"/>
      <c r="E303" s="147"/>
      <c r="F303" s="147"/>
      <c r="G303" s="147"/>
      <c r="H303" s="147"/>
      <c r="I303" s="147"/>
      <c r="J303" s="147"/>
    </row>
    <row r="304" spans="1:10">
      <c r="A304" s="147"/>
      <c r="B304" s="147"/>
      <c r="C304" s="166"/>
      <c r="D304" s="147"/>
      <c r="E304" s="147"/>
      <c r="F304" s="147"/>
      <c r="G304" s="147"/>
      <c r="H304" s="147"/>
      <c r="I304" s="147"/>
      <c r="J304" s="147"/>
    </row>
    <row r="305" spans="1:10">
      <c r="A305" s="147"/>
      <c r="B305" s="147"/>
      <c r="C305" s="166"/>
      <c r="D305" s="147"/>
      <c r="E305" s="147"/>
      <c r="F305" s="147"/>
      <c r="G305" s="147"/>
      <c r="H305" s="147"/>
      <c r="I305" s="147"/>
      <c r="J305" s="147"/>
    </row>
    <row r="306" spans="1:10">
      <c r="A306" s="147"/>
      <c r="B306" s="147"/>
      <c r="C306" s="166"/>
      <c r="D306" s="147"/>
      <c r="E306" s="147"/>
      <c r="F306" s="147"/>
      <c r="G306" s="147"/>
      <c r="H306" s="147"/>
      <c r="I306" s="147"/>
      <c r="J306" s="147"/>
    </row>
    <row r="307" spans="1:10">
      <c r="A307" s="147"/>
      <c r="B307" s="147"/>
      <c r="C307" s="166"/>
      <c r="D307" s="147"/>
      <c r="E307" s="147"/>
      <c r="F307" s="147"/>
      <c r="G307" s="147"/>
      <c r="H307" s="147"/>
      <c r="I307" s="147"/>
      <c r="J307" s="147"/>
    </row>
    <row r="308" spans="1:10">
      <c r="A308" s="147"/>
      <c r="B308" s="147"/>
      <c r="C308" s="166"/>
      <c r="D308" s="147"/>
      <c r="E308" s="147"/>
      <c r="F308" s="147"/>
      <c r="G308" s="147"/>
      <c r="H308" s="147"/>
      <c r="I308" s="147"/>
      <c r="J308" s="147"/>
    </row>
    <row r="309" spans="1:10">
      <c r="A309" s="147"/>
      <c r="B309" s="147"/>
      <c r="C309" s="166"/>
      <c r="D309" s="147"/>
      <c r="E309" s="147"/>
      <c r="F309" s="147"/>
      <c r="G309" s="147"/>
      <c r="H309" s="147"/>
      <c r="I309" s="147"/>
      <c r="J309" s="147"/>
    </row>
    <row r="310" spans="1:10">
      <c r="A310" s="147"/>
      <c r="B310" s="147"/>
      <c r="C310" s="166"/>
      <c r="D310" s="147"/>
      <c r="E310" s="147"/>
      <c r="F310" s="147"/>
      <c r="G310" s="147"/>
      <c r="H310" s="147"/>
      <c r="I310" s="147"/>
      <c r="J310" s="147"/>
    </row>
    <row r="311" spans="1:10">
      <c r="A311" s="147"/>
      <c r="B311" s="147"/>
      <c r="C311" s="166"/>
      <c r="D311" s="147"/>
      <c r="E311" s="147"/>
      <c r="F311" s="147"/>
      <c r="G311" s="147"/>
      <c r="H311" s="147"/>
      <c r="I311" s="147"/>
      <c r="J311" s="147"/>
    </row>
    <row r="312" spans="1:10">
      <c r="A312" s="147"/>
      <c r="B312" s="147"/>
      <c r="C312" s="166"/>
      <c r="D312" s="147"/>
      <c r="E312" s="147"/>
      <c r="F312" s="147"/>
      <c r="G312" s="147"/>
      <c r="H312" s="147"/>
      <c r="I312" s="147"/>
      <c r="J312" s="147"/>
    </row>
    <row r="313" spans="1:10">
      <c r="A313" s="147"/>
      <c r="B313" s="147"/>
      <c r="C313" s="166"/>
      <c r="D313" s="147"/>
      <c r="E313" s="147"/>
      <c r="F313" s="147"/>
      <c r="G313" s="147"/>
      <c r="H313" s="147"/>
      <c r="I313" s="147"/>
      <c r="J313" s="147"/>
    </row>
    <row r="314" spans="1:10">
      <c r="A314" s="147"/>
      <c r="B314" s="147"/>
      <c r="C314" s="166"/>
      <c r="D314" s="147"/>
      <c r="E314" s="147"/>
      <c r="F314" s="147"/>
      <c r="G314" s="147"/>
      <c r="H314" s="147"/>
      <c r="I314" s="147"/>
      <c r="J314" s="147"/>
    </row>
    <row r="315" spans="1:10">
      <c r="A315" s="147"/>
      <c r="B315" s="147"/>
      <c r="C315" s="166"/>
      <c r="D315" s="147"/>
      <c r="E315" s="147"/>
      <c r="F315" s="147"/>
      <c r="G315" s="147"/>
      <c r="H315" s="147"/>
      <c r="I315" s="147"/>
      <c r="J315" s="147"/>
    </row>
    <row r="316" spans="1:10">
      <c r="A316" s="147"/>
      <c r="B316" s="147"/>
      <c r="C316" s="166"/>
      <c r="D316" s="147"/>
      <c r="E316" s="147"/>
      <c r="F316" s="147"/>
      <c r="G316" s="147"/>
      <c r="H316" s="147"/>
      <c r="I316" s="147"/>
      <c r="J316" s="147"/>
    </row>
    <row r="317" spans="1:10">
      <c r="A317" s="147"/>
      <c r="B317" s="147"/>
      <c r="C317" s="166"/>
      <c r="D317" s="147"/>
      <c r="E317" s="147"/>
      <c r="F317" s="147"/>
      <c r="G317" s="147"/>
      <c r="H317" s="147"/>
      <c r="I317" s="147"/>
      <c r="J317" s="147"/>
    </row>
    <row r="318" spans="1:10">
      <c r="A318" s="147"/>
      <c r="B318" s="147"/>
      <c r="C318" s="166"/>
      <c r="D318" s="147"/>
      <c r="E318" s="147"/>
      <c r="F318" s="147"/>
      <c r="G318" s="147"/>
      <c r="H318" s="147"/>
      <c r="I318" s="147"/>
      <c r="J318" s="147"/>
    </row>
    <row r="319" spans="1:10">
      <c r="A319" s="147"/>
      <c r="B319" s="147"/>
      <c r="C319" s="166"/>
      <c r="D319" s="147"/>
      <c r="E319" s="147"/>
      <c r="F319" s="147"/>
      <c r="G319" s="147"/>
      <c r="H319" s="147"/>
      <c r="I319" s="147"/>
      <c r="J319" s="147"/>
    </row>
    <row r="320" spans="1:10">
      <c r="A320" s="147"/>
      <c r="B320" s="147"/>
      <c r="C320" s="166"/>
      <c r="D320" s="147"/>
      <c r="E320" s="147"/>
      <c r="F320" s="147"/>
      <c r="G320" s="147"/>
      <c r="H320" s="147"/>
      <c r="I320" s="147"/>
      <c r="J320" s="147"/>
    </row>
    <row r="321" spans="1:10">
      <c r="A321" s="147"/>
      <c r="B321" s="147"/>
      <c r="C321" s="166"/>
      <c r="D321" s="147"/>
      <c r="E321" s="147"/>
      <c r="F321" s="147"/>
      <c r="G321" s="147"/>
      <c r="H321" s="147"/>
      <c r="I321" s="147"/>
      <c r="J321" s="147"/>
    </row>
    <row r="322" spans="1:10">
      <c r="A322" s="147"/>
      <c r="B322" s="147"/>
      <c r="C322" s="166"/>
      <c r="D322" s="147"/>
      <c r="E322" s="147"/>
      <c r="F322" s="147"/>
      <c r="G322" s="147"/>
      <c r="H322" s="147"/>
      <c r="I322" s="147"/>
      <c r="J322" s="147"/>
    </row>
    <row r="323" spans="1:10">
      <c r="A323" s="147"/>
      <c r="B323" s="147"/>
      <c r="C323" s="166"/>
      <c r="D323" s="147"/>
      <c r="E323" s="147"/>
      <c r="F323" s="147"/>
      <c r="G323" s="147"/>
      <c r="H323" s="147"/>
      <c r="I323" s="147"/>
      <c r="J323" s="147"/>
    </row>
    <row r="324" spans="1:10">
      <c r="A324" s="147"/>
      <c r="B324" s="147"/>
      <c r="C324" s="166"/>
      <c r="D324" s="147"/>
      <c r="E324" s="147"/>
      <c r="F324" s="147"/>
      <c r="G324" s="147"/>
      <c r="H324" s="147"/>
      <c r="I324" s="147"/>
      <c r="J324" s="147"/>
    </row>
    <row r="325" spans="1:10">
      <c r="A325" s="147"/>
      <c r="B325" s="147"/>
      <c r="C325" s="166"/>
      <c r="D325" s="147"/>
      <c r="E325" s="147"/>
      <c r="F325" s="147"/>
      <c r="G325" s="147"/>
      <c r="H325" s="147"/>
      <c r="I325" s="147"/>
      <c r="J325" s="147"/>
    </row>
    <row r="326" spans="1:10">
      <c r="A326" s="147"/>
      <c r="B326" s="147"/>
      <c r="C326" s="166"/>
      <c r="D326" s="147"/>
      <c r="E326" s="147"/>
      <c r="F326" s="147"/>
      <c r="G326" s="147"/>
      <c r="H326" s="147"/>
      <c r="I326" s="147"/>
      <c r="J326" s="147"/>
    </row>
    <row r="327" spans="1:10">
      <c r="A327" s="147"/>
      <c r="B327" s="147"/>
      <c r="C327" s="166"/>
      <c r="D327" s="147"/>
      <c r="E327" s="147"/>
      <c r="F327" s="147"/>
      <c r="G327" s="147"/>
      <c r="H327" s="147"/>
      <c r="I327" s="147"/>
      <c r="J327" s="147"/>
    </row>
    <row r="328" spans="1:10">
      <c r="A328" s="147"/>
      <c r="B328" s="147"/>
      <c r="C328" s="166"/>
      <c r="D328" s="147"/>
      <c r="E328" s="147"/>
      <c r="F328" s="147"/>
      <c r="G328" s="147"/>
      <c r="H328" s="147"/>
      <c r="I328" s="147"/>
      <c r="J328" s="147"/>
    </row>
    <row r="329" spans="1:10">
      <c r="A329" s="147"/>
      <c r="B329" s="147"/>
      <c r="C329" s="166"/>
      <c r="D329" s="147"/>
      <c r="E329" s="147"/>
      <c r="F329" s="147"/>
      <c r="G329" s="147"/>
      <c r="H329" s="147"/>
      <c r="I329" s="147"/>
      <c r="J329" s="147"/>
    </row>
    <row r="330" spans="1:10">
      <c r="A330" s="147"/>
      <c r="B330" s="147"/>
      <c r="C330" s="166"/>
      <c r="D330" s="147"/>
      <c r="E330" s="147"/>
      <c r="F330" s="147"/>
      <c r="G330" s="147"/>
      <c r="H330" s="147"/>
      <c r="I330" s="147"/>
      <c r="J330" s="147"/>
    </row>
    <row r="331" spans="1:10">
      <c r="A331" s="147"/>
      <c r="B331" s="147"/>
      <c r="C331" s="166"/>
      <c r="D331" s="147"/>
      <c r="E331" s="147"/>
      <c r="F331" s="147"/>
      <c r="G331" s="147"/>
      <c r="H331" s="147"/>
      <c r="I331" s="147"/>
      <c r="J331" s="147"/>
    </row>
    <row r="332" spans="1:10">
      <c r="A332" s="147"/>
      <c r="B332" s="147"/>
      <c r="C332" s="166"/>
      <c r="D332" s="147"/>
      <c r="E332" s="147"/>
      <c r="F332" s="147"/>
      <c r="G332" s="147"/>
      <c r="H332" s="147"/>
      <c r="I332" s="147"/>
      <c r="J332" s="147"/>
    </row>
    <row r="333" spans="1:10">
      <c r="A333" s="147"/>
      <c r="B333" s="147"/>
      <c r="C333" s="166"/>
      <c r="D333" s="147"/>
      <c r="E333" s="147"/>
      <c r="F333" s="147"/>
      <c r="G333" s="147"/>
      <c r="H333" s="147"/>
      <c r="I333" s="147"/>
      <c r="J333" s="147"/>
    </row>
    <row r="334" spans="1:10">
      <c r="A334" s="147"/>
      <c r="B334" s="147"/>
      <c r="C334" s="166"/>
      <c r="D334" s="147"/>
      <c r="E334" s="147"/>
      <c r="F334" s="147"/>
      <c r="G334" s="147"/>
      <c r="H334" s="147"/>
      <c r="I334" s="147"/>
      <c r="J334" s="147"/>
    </row>
    <row r="335" spans="1:10">
      <c r="A335" s="147"/>
      <c r="B335" s="147"/>
      <c r="C335" s="166"/>
      <c r="D335" s="147"/>
      <c r="E335" s="147"/>
      <c r="F335" s="147"/>
      <c r="G335" s="147"/>
      <c r="H335" s="147"/>
      <c r="I335" s="147"/>
      <c r="J335" s="147"/>
    </row>
    <row r="336" spans="1:10">
      <c r="A336" s="147"/>
      <c r="B336" s="147"/>
      <c r="C336" s="166"/>
      <c r="D336" s="147"/>
      <c r="E336" s="147"/>
      <c r="F336" s="147"/>
      <c r="G336" s="147"/>
      <c r="H336" s="147"/>
      <c r="I336" s="147"/>
      <c r="J336" s="147"/>
    </row>
    <row r="337" spans="1:10">
      <c r="A337" s="147"/>
      <c r="B337" s="147"/>
      <c r="C337" s="166"/>
      <c r="D337" s="147"/>
      <c r="E337" s="147"/>
      <c r="F337" s="147"/>
      <c r="G337" s="147"/>
      <c r="H337" s="147"/>
      <c r="I337" s="147"/>
      <c r="J337" s="147"/>
    </row>
    <row r="338" spans="1:10">
      <c r="A338" s="147"/>
      <c r="B338" s="147"/>
      <c r="C338" s="166"/>
      <c r="D338" s="147"/>
      <c r="E338" s="147"/>
      <c r="F338" s="147"/>
      <c r="G338" s="147"/>
      <c r="H338" s="147"/>
      <c r="I338" s="147"/>
      <c r="J338" s="147"/>
    </row>
    <row r="339" spans="1:10">
      <c r="A339" s="147"/>
      <c r="B339" s="147"/>
      <c r="C339" s="166"/>
      <c r="D339" s="147"/>
      <c r="E339" s="147"/>
      <c r="F339" s="147"/>
      <c r="G339" s="147"/>
      <c r="H339" s="147"/>
      <c r="I339" s="147"/>
      <c r="J339" s="147"/>
    </row>
    <row r="340" spans="1:10">
      <c r="A340" s="147"/>
      <c r="B340" s="147"/>
      <c r="C340" s="166"/>
      <c r="D340" s="147"/>
      <c r="E340" s="147"/>
      <c r="F340" s="147"/>
      <c r="G340" s="147"/>
      <c r="H340" s="147"/>
      <c r="I340" s="147"/>
      <c r="J340" s="147"/>
    </row>
    <row r="341" spans="1:10">
      <c r="A341" s="147"/>
      <c r="B341" s="147"/>
      <c r="C341" s="166"/>
      <c r="D341" s="147"/>
      <c r="E341" s="147"/>
      <c r="F341" s="147"/>
      <c r="G341" s="147"/>
      <c r="H341" s="147"/>
      <c r="I341" s="147"/>
      <c r="J341" s="147"/>
    </row>
    <row r="342" spans="1:10">
      <c r="A342" s="147"/>
      <c r="B342" s="147"/>
      <c r="C342" s="166"/>
      <c r="D342" s="147"/>
      <c r="E342" s="147"/>
      <c r="F342" s="147"/>
      <c r="G342" s="147"/>
      <c r="H342" s="147"/>
      <c r="I342" s="147"/>
      <c r="J342" s="147"/>
    </row>
    <row r="343" spans="1:10">
      <c r="A343" s="147"/>
      <c r="B343" s="147"/>
      <c r="C343" s="166"/>
      <c r="D343" s="147"/>
      <c r="E343" s="147"/>
      <c r="F343" s="147"/>
      <c r="G343" s="147"/>
      <c r="H343" s="147"/>
      <c r="I343" s="147"/>
      <c r="J343" s="147"/>
    </row>
    <row r="344" spans="1:10">
      <c r="A344" s="147"/>
      <c r="B344" s="147"/>
      <c r="C344" s="166"/>
      <c r="D344" s="147"/>
      <c r="E344" s="147"/>
      <c r="F344" s="147"/>
      <c r="G344" s="147"/>
      <c r="H344" s="147"/>
      <c r="I344" s="147"/>
      <c r="J344" s="147"/>
    </row>
    <row r="345" spans="1:10">
      <c r="A345" s="147"/>
      <c r="B345" s="147"/>
      <c r="C345" s="166"/>
      <c r="D345" s="147"/>
      <c r="E345" s="147"/>
      <c r="F345" s="147"/>
      <c r="G345" s="147"/>
      <c r="H345" s="147"/>
      <c r="I345" s="147"/>
      <c r="J345" s="147"/>
    </row>
    <row r="346" spans="1:10">
      <c r="A346" s="147"/>
      <c r="B346" s="147"/>
      <c r="C346" s="166"/>
      <c r="D346" s="147"/>
      <c r="E346" s="147"/>
      <c r="F346" s="147"/>
      <c r="G346" s="147"/>
      <c r="H346" s="147"/>
      <c r="I346" s="147"/>
      <c r="J346" s="147"/>
    </row>
    <row r="347" spans="1:10">
      <c r="A347" s="147"/>
      <c r="B347" s="147"/>
      <c r="C347" s="166"/>
      <c r="D347" s="147"/>
      <c r="E347" s="147"/>
      <c r="F347" s="147"/>
      <c r="G347" s="147"/>
      <c r="H347" s="147"/>
      <c r="I347" s="147"/>
      <c r="J347" s="147"/>
    </row>
    <row r="348" spans="1:10">
      <c r="A348" s="147"/>
      <c r="B348" s="147"/>
      <c r="C348" s="166"/>
      <c r="D348" s="147"/>
      <c r="E348" s="147"/>
      <c r="F348" s="147"/>
      <c r="G348" s="147"/>
      <c r="H348" s="147"/>
      <c r="I348" s="147"/>
      <c r="J348" s="147"/>
    </row>
    <row r="349" spans="1:10">
      <c r="A349" s="147"/>
      <c r="B349" s="147"/>
      <c r="C349" s="166"/>
      <c r="D349" s="147"/>
      <c r="E349" s="147"/>
      <c r="F349" s="147"/>
      <c r="G349" s="147"/>
      <c r="H349" s="147"/>
      <c r="I349" s="147"/>
      <c r="J349" s="147"/>
    </row>
    <row r="350" spans="1:10">
      <c r="A350" s="147"/>
      <c r="B350" s="147"/>
      <c r="C350" s="166"/>
      <c r="D350" s="147"/>
      <c r="E350" s="147"/>
      <c r="F350" s="147"/>
      <c r="G350" s="147"/>
      <c r="H350" s="147"/>
      <c r="I350" s="147"/>
      <c r="J350" s="147"/>
    </row>
    <row r="351" spans="1:10">
      <c r="A351" s="147"/>
      <c r="B351" s="147"/>
      <c r="C351" s="166"/>
      <c r="D351" s="147"/>
      <c r="E351" s="147"/>
      <c r="F351" s="147"/>
      <c r="G351" s="147"/>
      <c r="H351" s="147"/>
      <c r="I351" s="147"/>
      <c r="J351" s="147"/>
    </row>
    <row r="352" spans="1:10">
      <c r="A352" s="147"/>
      <c r="B352" s="147"/>
      <c r="C352" s="166"/>
      <c r="D352" s="147"/>
      <c r="E352" s="147"/>
      <c r="F352" s="147"/>
      <c r="G352" s="147"/>
      <c r="H352" s="147"/>
      <c r="I352" s="147"/>
      <c r="J352" s="147"/>
    </row>
    <row r="353" spans="1:10">
      <c r="A353" s="147"/>
      <c r="B353" s="147"/>
      <c r="C353" s="166"/>
      <c r="D353" s="147"/>
      <c r="E353" s="147"/>
      <c r="F353" s="147"/>
      <c r="G353" s="147"/>
      <c r="H353" s="147"/>
      <c r="I353" s="147"/>
      <c r="J353" s="147"/>
    </row>
    <row r="354" spans="1:10">
      <c r="A354" s="147"/>
      <c r="B354" s="147"/>
      <c r="C354" s="166"/>
      <c r="D354" s="147"/>
      <c r="E354" s="147"/>
      <c r="F354" s="147"/>
      <c r="G354" s="147"/>
      <c r="H354" s="147"/>
      <c r="I354" s="147"/>
      <c r="J354" s="147"/>
    </row>
    <row r="355" spans="1:10">
      <c r="A355" s="147"/>
      <c r="B355" s="147"/>
      <c r="C355" s="166"/>
      <c r="D355" s="147"/>
      <c r="E355" s="147"/>
      <c r="F355" s="147"/>
      <c r="G355" s="147"/>
      <c r="H355" s="147"/>
      <c r="I355" s="147"/>
      <c r="J355" s="147"/>
    </row>
    <row r="356" spans="1:10">
      <c r="A356" s="147"/>
      <c r="B356" s="147"/>
      <c r="C356" s="166"/>
      <c r="D356" s="147"/>
      <c r="E356" s="147"/>
      <c r="F356" s="147"/>
      <c r="G356" s="147"/>
      <c r="H356" s="147"/>
      <c r="I356" s="147"/>
      <c r="J356" s="147"/>
    </row>
    <row r="357" spans="1:10">
      <c r="A357" s="147"/>
      <c r="B357" s="147"/>
      <c r="C357" s="166"/>
      <c r="D357" s="147"/>
      <c r="E357" s="147"/>
      <c r="F357" s="147"/>
      <c r="G357" s="147"/>
      <c r="H357" s="147"/>
      <c r="I357" s="147"/>
      <c r="J357" s="147"/>
    </row>
    <row r="358" spans="1:10">
      <c r="A358" s="147"/>
      <c r="B358" s="147"/>
      <c r="C358" s="166"/>
      <c r="D358" s="147"/>
      <c r="E358" s="147"/>
      <c r="F358" s="147"/>
      <c r="G358" s="147"/>
      <c r="H358" s="147"/>
      <c r="I358" s="147"/>
      <c r="J358" s="147"/>
    </row>
    <row r="359" spans="1:10">
      <c r="A359" s="147"/>
      <c r="B359" s="147"/>
      <c r="C359" s="166"/>
      <c r="D359" s="147"/>
      <c r="E359" s="147"/>
      <c r="F359" s="147"/>
      <c r="G359" s="147"/>
      <c r="H359" s="147"/>
      <c r="I359" s="147"/>
      <c r="J359" s="147"/>
    </row>
    <row r="360" spans="1:10">
      <c r="A360" s="147"/>
      <c r="B360" s="147"/>
      <c r="C360" s="166"/>
      <c r="D360" s="147"/>
      <c r="E360" s="147"/>
      <c r="F360" s="147"/>
      <c r="G360" s="147"/>
      <c r="H360" s="147"/>
      <c r="I360" s="147"/>
      <c r="J360" s="147"/>
    </row>
    <row r="361" spans="1:10">
      <c r="A361" s="147"/>
      <c r="B361" s="147"/>
      <c r="C361" s="166"/>
      <c r="D361" s="147"/>
      <c r="E361" s="147"/>
      <c r="F361" s="147"/>
      <c r="G361" s="147"/>
      <c r="H361" s="147"/>
      <c r="I361" s="147"/>
      <c r="J361" s="147"/>
    </row>
    <row r="362" spans="1:10">
      <c r="A362" s="147"/>
      <c r="B362" s="147"/>
      <c r="C362" s="166"/>
      <c r="D362" s="147"/>
      <c r="E362" s="147"/>
      <c r="F362" s="147"/>
      <c r="G362" s="147"/>
      <c r="H362" s="147"/>
      <c r="I362" s="147"/>
      <c r="J362" s="147"/>
    </row>
    <row r="363" spans="1:10">
      <c r="A363" s="147"/>
      <c r="B363" s="147"/>
      <c r="C363" s="166"/>
      <c r="D363" s="147"/>
      <c r="E363" s="147"/>
      <c r="F363" s="147"/>
      <c r="G363" s="147"/>
      <c r="H363" s="147"/>
      <c r="I363" s="147"/>
      <c r="J363" s="147"/>
    </row>
    <row r="364" spans="1:10">
      <c r="A364" s="147"/>
      <c r="B364" s="147"/>
      <c r="C364" s="166"/>
      <c r="D364" s="147"/>
      <c r="E364" s="147"/>
      <c r="F364" s="147"/>
      <c r="G364" s="147"/>
      <c r="H364" s="147"/>
      <c r="I364" s="147"/>
      <c r="J364" s="147"/>
    </row>
    <row r="365" spans="1:10">
      <c r="A365" s="147"/>
      <c r="B365" s="147"/>
      <c r="C365" s="166"/>
      <c r="D365" s="147"/>
      <c r="E365" s="147"/>
      <c r="F365" s="147"/>
      <c r="G365" s="147"/>
      <c r="H365" s="147"/>
      <c r="I365" s="147"/>
      <c r="J365" s="147"/>
    </row>
    <row r="366" spans="1:10">
      <c r="A366" s="147"/>
      <c r="B366" s="147"/>
      <c r="C366" s="166"/>
      <c r="D366" s="147"/>
      <c r="E366" s="147"/>
      <c r="F366" s="147"/>
      <c r="G366" s="147"/>
      <c r="H366" s="147"/>
      <c r="I366" s="147"/>
      <c r="J366" s="147"/>
    </row>
    <row r="367" spans="1:10">
      <c r="A367" s="147"/>
      <c r="B367" s="147"/>
      <c r="C367" s="166"/>
      <c r="D367" s="147"/>
      <c r="E367" s="147"/>
      <c r="F367" s="147"/>
      <c r="G367" s="147"/>
      <c r="H367" s="147"/>
      <c r="I367" s="147"/>
      <c r="J367" s="147"/>
    </row>
    <row r="368" spans="1:10">
      <c r="A368" s="147"/>
      <c r="B368" s="147"/>
      <c r="C368" s="166"/>
      <c r="D368" s="147"/>
      <c r="E368" s="147"/>
      <c r="F368" s="147"/>
      <c r="G368" s="147"/>
      <c r="H368" s="147"/>
      <c r="I368" s="147"/>
      <c r="J368" s="147"/>
    </row>
    <row r="369" spans="1:10">
      <c r="A369" s="147"/>
      <c r="B369" s="147"/>
      <c r="C369" s="166"/>
      <c r="D369" s="147"/>
      <c r="E369" s="147"/>
      <c r="F369" s="147"/>
      <c r="G369" s="147"/>
      <c r="H369" s="147"/>
      <c r="I369" s="147"/>
      <c r="J369" s="147"/>
    </row>
    <row r="370" spans="1:10">
      <c r="A370" s="147"/>
      <c r="B370" s="147"/>
      <c r="C370" s="166"/>
      <c r="D370" s="147"/>
      <c r="E370" s="147"/>
      <c r="F370" s="147"/>
      <c r="G370" s="147"/>
      <c r="H370" s="147"/>
      <c r="I370" s="147"/>
      <c r="J370" s="147"/>
    </row>
    <row r="371" spans="1:10">
      <c r="A371" s="147"/>
      <c r="B371" s="147"/>
      <c r="C371" s="166"/>
      <c r="D371" s="147"/>
      <c r="E371" s="147"/>
      <c r="F371" s="147"/>
      <c r="G371" s="147"/>
      <c r="H371" s="147"/>
      <c r="I371" s="147"/>
      <c r="J371" s="147"/>
    </row>
    <row r="372" spans="1:10">
      <c r="A372" s="147"/>
      <c r="B372" s="147"/>
      <c r="C372" s="166"/>
      <c r="D372" s="147"/>
      <c r="E372" s="147"/>
      <c r="F372" s="147"/>
      <c r="G372" s="147"/>
      <c r="H372" s="147"/>
      <c r="I372" s="147"/>
      <c r="J372" s="147"/>
    </row>
    <row r="373" spans="1:10">
      <c r="A373" s="147"/>
      <c r="B373" s="147"/>
      <c r="C373" s="166"/>
      <c r="D373" s="147"/>
      <c r="E373" s="147"/>
      <c r="F373" s="147"/>
      <c r="G373" s="147"/>
      <c r="H373" s="147"/>
      <c r="I373" s="147"/>
      <c r="J373" s="147"/>
    </row>
    <row r="374" spans="1:10">
      <c r="A374" s="147"/>
      <c r="B374" s="147"/>
      <c r="C374" s="166"/>
      <c r="D374" s="147"/>
      <c r="E374" s="147"/>
      <c r="F374" s="147"/>
      <c r="G374" s="147"/>
      <c r="H374" s="147"/>
      <c r="I374" s="147"/>
      <c r="J374" s="147"/>
    </row>
    <row r="375" spans="1:10">
      <c r="A375" s="147"/>
      <c r="B375" s="147"/>
      <c r="C375" s="166"/>
      <c r="D375" s="147"/>
      <c r="E375" s="147"/>
      <c r="F375" s="147"/>
      <c r="G375" s="147"/>
      <c r="H375" s="147"/>
      <c r="I375" s="147"/>
      <c r="J375" s="147"/>
    </row>
    <row r="376" spans="1:10">
      <c r="A376" s="147"/>
      <c r="B376" s="147"/>
      <c r="C376" s="166"/>
      <c r="D376" s="147"/>
      <c r="E376" s="147"/>
      <c r="F376" s="147"/>
      <c r="G376" s="147"/>
      <c r="H376" s="147"/>
      <c r="I376" s="147"/>
      <c r="J376" s="147"/>
    </row>
    <row r="377" spans="1:10">
      <c r="A377" s="147"/>
      <c r="B377" s="147"/>
      <c r="C377" s="166"/>
      <c r="D377" s="147"/>
      <c r="E377" s="147"/>
      <c r="F377" s="147"/>
      <c r="G377" s="147"/>
      <c r="H377" s="147"/>
      <c r="I377" s="147"/>
      <c r="J377" s="147"/>
    </row>
    <row r="378" spans="1:10">
      <c r="A378" s="147"/>
      <c r="B378" s="147"/>
      <c r="C378" s="166"/>
      <c r="D378" s="147"/>
      <c r="E378" s="147"/>
      <c r="F378" s="147"/>
      <c r="G378" s="147"/>
      <c r="H378" s="147"/>
      <c r="I378" s="147"/>
      <c r="J378" s="147"/>
    </row>
    <row r="379" spans="1:10">
      <c r="A379" s="147"/>
      <c r="B379" s="147"/>
      <c r="C379" s="166"/>
      <c r="D379" s="147"/>
      <c r="E379" s="147"/>
      <c r="F379" s="147"/>
      <c r="G379" s="147"/>
      <c r="H379" s="147"/>
      <c r="I379" s="147"/>
      <c r="J379" s="147"/>
    </row>
    <row r="380" spans="1:10">
      <c r="A380" s="147"/>
      <c r="B380" s="147"/>
      <c r="C380" s="166"/>
      <c r="D380" s="147"/>
      <c r="E380" s="147"/>
      <c r="F380" s="147"/>
      <c r="G380" s="147"/>
      <c r="H380" s="147"/>
      <c r="I380" s="147"/>
      <c r="J380" s="147"/>
    </row>
    <row r="381" spans="1:10">
      <c r="A381" s="147"/>
      <c r="B381" s="147"/>
      <c r="C381" s="166"/>
      <c r="D381" s="147"/>
      <c r="E381" s="147"/>
      <c r="F381" s="147"/>
      <c r="G381" s="147"/>
      <c r="H381" s="147"/>
      <c r="I381" s="147"/>
      <c r="J381" s="147"/>
    </row>
    <row r="382" spans="1:10">
      <c r="A382" s="147"/>
      <c r="B382" s="147"/>
      <c r="C382" s="166"/>
      <c r="D382" s="147"/>
      <c r="E382" s="147"/>
      <c r="F382" s="147"/>
      <c r="G382" s="147"/>
      <c r="H382" s="147"/>
      <c r="I382" s="147"/>
      <c r="J382" s="147"/>
    </row>
    <row r="383" spans="1:10">
      <c r="A383" s="147"/>
      <c r="B383" s="147"/>
      <c r="C383" s="166"/>
      <c r="D383" s="147"/>
      <c r="E383" s="147"/>
      <c r="F383" s="147"/>
      <c r="G383" s="147"/>
      <c r="H383" s="147"/>
      <c r="I383" s="147"/>
      <c r="J383" s="147"/>
    </row>
    <row r="384" spans="1:10">
      <c r="A384" s="147"/>
      <c r="B384" s="147"/>
      <c r="C384" s="166"/>
      <c r="D384" s="147"/>
      <c r="E384" s="147"/>
      <c r="F384" s="147"/>
      <c r="G384" s="147"/>
      <c r="H384" s="147"/>
      <c r="I384" s="147"/>
      <c r="J384" s="147"/>
    </row>
    <row r="385" spans="1:10">
      <c r="A385" s="147"/>
      <c r="B385" s="147"/>
      <c r="C385" s="166"/>
      <c r="D385" s="147"/>
      <c r="E385" s="147"/>
      <c r="F385" s="147"/>
      <c r="G385" s="147"/>
      <c r="H385" s="147"/>
      <c r="I385" s="147"/>
      <c r="J385" s="147"/>
    </row>
    <row r="386" spans="1:10">
      <c r="A386" s="147"/>
      <c r="B386" s="147"/>
      <c r="C386" s="166"/>
      <c r="D386" s="147"/>
      <c r="E386" s="147"/>
      <c r="F386" s="147"/>
      <c r="G386" s="147"/>
      <c r="H386" s="147"/>
      <c r="I386" s="147"/>
      <c r="J386" s="147"/>
    </row>
    <row r="387" spans="1:10">
      <c r="A387" s="147"/>
      <c r="B387" s="147"/>
      <c r="C387" s="166"/>
      <c r="D387" s="147"/>
      <c r="E387" s="147"/>
      <c r="F387" s="147"/>
      <c r="G387" s="147"/>
      <c r="H387" s="147"/>
      <c r="I387" s="147"/>
      <c r="J387" s="147"/>
    </row>
    <row r="388" spans="1:10">
      <c r="A388" s="147"/>
      <c r="B388" s="147"/>
      <c r="C388" s="166"/>
      <c r="D388" s="147"/>
      <c r="E388" s="147"/>
      <c r="F388" s="147"/>
      <c r="G388" s="147"/>
      <c r="H388" s="147"/>
      <c r="I388" s="147"/>
      <c r="J388" s="147"/>
    </row>
    <row r="389" spans="1:10">
      <c r="A389" s="147"/>
      <c r="B389" s="147"/>
      <c r="C389" s="166"/>
      <c r="D389" s="147"/>
      <c r="E389" s="147"/>
      <c r="F389" s="147"/>
      <c r="G389" s="147"/>
      <c r="H389" s="147"/>
      <c r="I389" s="147"/>
      <c r="J389" s="147"/>
    </row>
    <row r="390" spans="1:10">
      <c r="A390" s="147"/>
      <c r="B390" s="147"/>
      <c r="C390" s="166"/>
      <c r="D390" s="147"/>
      <c r="E390" s="147"/>
      <c r="F390" s="147"/>
      <c r="G390" s="147"/>
      <c r="H390" s="147"/>
      <c r="I390" s="147"/>
      <c r="J390" s="147"/>
    </row>
    <row r="391" spans="1:10">
      <c r="A391" s="147"/>
      <c r="B391" s="147"/>
      <c r="C391" s="166"/>
      <c r="D391" s="147"/>
      <c r="E391" s="147"/>
      <c r="F391" s="147"/>
      <c r="G391" s="147"/>
      <c r="H391" s="147"/>
      <c r="I391" s="147"/>
      <c r="J391" s="147"/>
    </row>
    <row r="392" spans="1:10">
      <c r="A392" s="147"/>
      <c r="B392" s="147"/>
      <c r="C392" s="166"/>
      <c r="D392" s="147"/>
      <c r="E392" s="147"/>
      <c r="F392" s="147"/>
      <c r="G392" s="147"/>
      <c r="H392" s="147"/>
      <c r="I392" s="147"/>
      <c r="J392" s="147"/>
    </row>
    <row r="393" spans="1:10">
      <c r="A393" s="147"/>
      <c r="B393" s="147"/>
      <c r="C393" s="166"/>
      <c r="D393" s="147"/>
      <c r="E393" s="147"/>
      <c r="F393" s="147"/>
      <c r="G393" s="147"/>
      <c r="H393" s="147"/>
      <c r="I393" s="147"/>
      <c r="J393" s="147"/>
    </row>
    <row r="394" spans="1:10">
      <c r="A394" s="147"/>
      <c r="B394" s="147"/>
      <c r="C394" s="166"/>
      <c r="D394" s="147"/>
      <c r="E394" s="147"/>
      <c r="F394" s="147"/>
      <c r="G394" s="147"/>
      <c r="H394" s="147"/>
      <c r="I394" s="147"/>
      <c r="J394" s="147"/>
    </row>
    <row r="395" spans="1:10">
      <c r="A395" s="147"/>
      <c r="B395" s="147"/>
      <c r="C395" s="166"/>
      <c r="D395" s="147"/>
      <c r="E395" s="147"/>
      <c r="F395" s="147"/>
      <c r="G395" s="147"/>
      <c r="H395" s="147"/>
      <c r="I395" s="147"/>
      <c r="J395" s="147"/>
    </row>
    <row r="396" spans="1:10">
      <c r="A396" s="147"/>
      <c r="B396" s="147"/>
      <c r="C396" s="166"/>
      <c r="D396" s="147"/>
      <c r="E396" s="147"/>
      <c r="F396" s="147"/>
      <c r="G396" s="147"/>
      <c r="H396" s="147"/>
      <c r="I396" s="147"/>
      <c r="J396" s="147"/>
    </row>
    <row r="397" spans="1:10">
      <c r="A397" s="147"/>
      <c r="B397" s="147"/>
      <c r="C397" s="166"/>
      <c r="D397" s="147"/>
      <c r="E397" s="147"/>
      <c r="F397" s="147"/>
      <c r="G397" s="147"/>
      <c r="H397" s="147"/>
      <c r="I397" s="147"/>
      <c r="J397" s="147"/>
    </row>
    <row r="398" spans="1:10">
      <c r="A398" s="147"/>
      <c r="B398" s="147"/>
      <c r="C398" s="166"/>
      <c r="D398" s="147"/>
      <c r="E398" s="147"/>
      <c r="F398" s="147"/>
      <c r="G398" s="147"/>
      <c r="H398" s="147"/>
      <c r="I398" s="147"/>
      <c r="J398" s="147"/>
    </row>
    <row r="399" spans="1:10">
      <c r="A399" s="147"/>
      <c r="B399" s="147"/>
      <c r="C399" s="166"/>
      <c r="D399" s="147"/>
      <c r="E399" s="147"/>
      <c r="F399" s="147"/>
      <c r="G399" s="147"/>
      <c r="H399" s="147"/>
      <c r="I399" s="147"/>
      <c r="J399" s="147"/>
    </row>
    <row r="400" spans="1:10">
      <c r="A400" s="147"/>
      <c r="B400" s="147"/>
      <c r="C400" s="166"/>
      <c r="D400" s="147"/>
      <c r="E400" s="147"/>
      <c r="F400" s="147"/>
      <c r="G400" s="147"/>
      <c r="H400" s="147"/>
      <c r="I400" s="147"/>
      <c r="J400" s="147"/>
    </row>
    <row r="401" spans="1:10">
      <c r="A401" s="147"/>
      <c r="B401" s="147"/>
      <c r="C401" s="166"/>
      <c r="D401" s="147"/>
      <c r="E401" s="147"/>
      <c r="F401" s="147"/>
      <c r="G401" s="147"/>
      <c r="H401" s="147"/>
      <c r="I401" s="147"/>
      <c r="J401" s="147"/>
    </row>
    <row r="402" spans="1:10">
      <c r="A402" s="147"/>
      <c r="B402" s="147"/>
      <c r="C402" s="166"/>
      <c r="D402" s="147"/>
      <c r="E402" s="147"/>
      <c r="F402" s="147"/>
      <c r="G402" s="147"/>
      <c r="H402" s="147"/>
      <c r="I402" s="147"/>
      <c r="J402" s="147"/>
    </row>
    <row r="403" spans="1:10">
      <c r="A403" s="147"/>
      <c r="B403" s="147"/>
      <c r="C403" s="166"/>
      <c r="D403" s="147"/>
      <c r="E403" s="147"/>
      <c r="F403" s="147"/>
      <c r="G403" s="147"/>
      <c r="H403" s="147"/>
      <c r="I403" s="147"/>
      <c r="J403" s="147"/>
    </row>
    <row r="404" spans="1:10">
      <c r="A404" s="147"/>
      <c r="B404" s="147"/>
      <c r="C404" s="166"/>
      <c r="D404" s="147"/>
      <c r="E404" s="147"/>
      <c r="F404" s="147"/>
      <c r="G404" s="147"/>
      <c r="H404" s="147"/>
      <c r="I404" s="147"/>
      <c r="J404" s="147"/>
    </row>
    <row r="405" spans="1:10">
      <c r="A405" s="147"/>
      <c r="B405" s="147"/>
      <c r="C405" s="166"/>
      <c r="D405" s="147"/>
      <c r="E405" s="147"/>
      <c r="F405" s="147"/>
      <c r="G405" s="147"/>
      <c r="H405" s="147"/>
      <c r="I405" s="147"/>
      <c r="J405" s="147"/>
    </row>
    <row r="406" spans="1:10">
      <c r="A406" s="147"/>
      <c r="B406" s="147"/>
      <c r="C406" s="166"/>
      <c r="D406" s="147"/>
      <c r="E406" s="147"/>
      <c r="F406" s="147"/>
      <c r="G406" s="147"/>
      <c r="H406" s="147"/>
      <c r="I406" s="147"/>
      <c r="J406" s="147"/>
    </row>
    <row r="407" spans="1:10">
      <c r="A407" s="147"/>
      <c r="B407" s="147"/>
      <c r="C407" s="166"/>
      <c r="D407" s="147"/>
      <c r="E407" s="147"/>
      <c r="F407" s="147"/>
      <c r="G407" s="147"/>
      <c r="H407" s="147"/>
      <c r="I407" s="147"/>
      <c r="J407" s="147"/>
    </row>
    <row r="408" spans="1:10">
      <c r="A408" s="147"/>
      <c r="B408" s="147"/>
      <c r="C408" s="166"/>
      <c r="D408" s="147"/>
      <c r="E408" s="147"/>
      <c r="F408" s="147"/>
      <c r="G408" s="147"/>
      <c r="H408" s="147"/>
      <c r="I408" s="147"/>
      <c r="J408" s="147"/>
    </row>
    <row r="409" spans="1:10">
      <c r="A409" s="147"/>
      <c r="B409" s="147"/>
      <c r="C409" s="166"/>
      <c r="D409" s="147"/>
      <c r="E409" s="147"/>
      <c r="F409" s="147"/>
      <c r="G409" s="147"/>
      <c r="H409" s="147"/>
      <c r="I409" s="147"/>
      <c r="J409" s="147"/>
    </row>
    <row r="410" spans="1:10">
      <c r="A410" s="147"/>
      <c r="B410" s="147"/>
      <c r="C410" s="166"/>
      <c r="D410" s="147"/>
      <c r="E410" s="147"/>
      <c r="F410" s="147"/>
      <c r="G410" s="147"/>
      <c r="H410" s="147"/>
      <c r="I410" s="147"/>
      <c r="J410" s="147"/>
    </row>
    <row r="411" spans="1:10">
      <c r="A411" s="147"/>
      <c r="B411" s="147"/>
      <c r="C411" s="166"/>
      <c r="D411" s="147"/>
      <c r="E411" s="147"/>
      <c r="F411" s="147"/>
      <c r="G411" s="147"/>
      <c r="H411" s="147"/>
      <c r="I411" s="147"/>
      <c r="J411" s="147"/>
    </row>
    <row r="412" spans="1:10">
      <c r="A412" s="147"/>
      <c r="B412" s="147"/>
      <c r="C412" s="166"/>
      <c r="D412" s="147"/>
      <c r="E412" s="147"/>
      <c r="F412" s="147"/>
      <c r="G412" s="147"/>
      <c r="H412" s="147"/>
      <c r="I412" s="147"/>
      <c r="J412" s="147"/>
    </row>
    <row r="413" spans="1:10">
      <c r="A413" s="147"/>
      <c r="B413" s="147"/>
      <c r="C413" s="166"/>
      <c r="D413" s="147"/>
      <c r="E413" s="147"/>
      <c r="F413" s="147"/>
      <c r="G413" s="147"/>
      <c r="H413" s="147"/>
      <c r="I413" s="147"/>
      <c r="J413" s="147"/>
    </row>
    <row r="414" spans="1:10">
      <c r="A414" s="147"/>
      <c r="B414" s="147"/>
      <c r="C414" s="166"/>
      <c r="D414" s="147"/>
      <c r="E414" s="147"/>
      <c r="F414" s="147"/>
      <c r="G414" s="147"/>
      <c r="H414" s="147"/>
      <c r="I414" s="147"/>
      <c r="J414" s="147"/>
    </row>
    <row r="415" spans="1:10">
      <c r="A415" s="147"/>
      <c r="B415" s="147"/>
      <c r="C415" s="166"/>
      <c r="D415" s="147"/>
      <c r="E415" s="147"/>
      <c r="F415" s="147"/>
      <c r="G415" s="147"/>
      <c r="H415" s="147"/>
      <c r="I415" s="147"/>
      <c r="J415" s="147"/>
    </row>
    <row r="416" spans="1:10">
      <c r="A416" s="147"/>
      <c r="B416" s="147"/>
      <c r="C416" s="166"/>
      <c r="D416" s="147"/>
      <c r="E416" s="147"/>
      <c r="F416" s="147"/>
      <c r="G416" s="147"/>
      <c r="H416" s="147"/>
      <c r="I416" s="147"/>
      <c r="J416" s="147"/>
    </row>
    <row r="417" spans="1:10">
      <c r="A417" s="147"/>
      <c r="B417" s="147"/>
      <c r="C417" s="166"/>
      <c r="D417" s="147"/>
      <c r="E417" s="147"/>
      <c r="F417" s="147"/>
      <c r="G417" s="147"/>
      <c r="H417" s="147"/>
      <c r="I417" s="147"/>
      <c r="J417" s="147"/>
    </row>
    <row r="418" spans="1:10">
      <c r="A418" s="147"/>
      <c r="B418" s="147"/>
      <c r="C418" s="166"/>
      <c r="D418" s="147"/>
      <c r="E418" s="147"/>
      <c r="F418" s="147"/>
      <c r="G418" s="147"/>
      <c r="H418" s="147"/>
      <c r="I418" s="147"/>
      <c r="J418" s="147"/>
    </row>
    <row r="419" spans="1:10">
      <c r="A419" s="147"/>
      <c r="B419" s="147"/>
      <c r="C419" s="166"/>
      <c r="D419" s="147"/>
      <c r="E419" s="147"/>
      <c r="F419" s="147"/>
      <c r="G419" s="147"/>
      <c r="H419" s="147"/>
      <c r="I419" s="147"/>
      <c r="J419" s="147"/>
    </row>
    <row r="420" spans="1:10">
      <c r="A420" s="147"/>
      <c r="B420" s="147"/>
      <c r="C420" s="166"/>
      <c r="D420" s="147"/>
      <c r="E420" s="147"/>
      <c r="F420" s="147"/>
      <c r="G420" s="147"/>
      <c r="H420" s="147"/>
      <c r="I420" s="147"/>
      <c r="J420" s="147"/>
    </row>
    <row r="421" spans="1:10">
      <c r="A421" s="147"/>
      <c r="B421" s="147"/>
      <c r="C421" s="166"/>
      <c r="D421" s="147"/>
      <c r="E421" s="147"/>
      <c r="F421" s="147"/>
      <c r="G421" s="147"/>
      <c r="H421" s="147"/>
      <c r="I421" s="147"/>
      <c r="J421" s="147"/>
    </row>
    <row r="422" spans="1:10">
      <c r="A422" s="147"/>
      <c r="B422" s="147"/>
      <c r="C422" s="166"/>
      <c r="D422" s="147"/>
      <c r="E422" s="147"/>
      <c r="F422" s="147"/>
      <c r="G422" s="147"/>
      <c r="H422" s="147"/>
      <c r="I422" s="147"/>
      <c r="J422" s="147"/>
    </row>
    <row r="423" spans="1:10">
      <c r="A423" s="147"/>
      <c r="B423" s="147"/>
      <c r="C423" s="166"/>
      <c r="D423" s="147"/>
      <c r="E423" s="147"/>
      <c r="F423" s="147"/>
      <c r="G423" s="147"/>
      <c r="H423" s="147"/>
      <c r="I423" s="147"/>
      <c r="J423" s="147"/>
    </row>
    <row r="424" spans="1:10">
      <c r="A424" s="147"/>
      <c r="B424" s="147"/>
      <c r="C424" s="166"/>
      <c r="D424" s="147"/>
      <c r="E424" s="147"/>
      <c r="F424" s="147"/>
      <c r="G424" s="147"/>
      <c r="H424" s="147"/>
      <c r="I424" s="147"/>
      <c r="J424" s="147"/>
    </row>
    <row r="425" spans="1:10">
      <c r="A425" s="147"/>
      <c r="B425" s="147"/>
      <c r="C425" s="166"/>
      <c r="D425" s="147"/>
      <c r="E425" s="147"/>
      <c r="F425" s="147"/>
      <c r="G425" s="147"/>
      <c r="H425" s="147"/>
      <c r="I425" s="147"/>
      <c r="J425" s="147"/>
    </row>
    <row r="426" spans="1:10">
      <c r="A426" s="147"/>
      <c r="B426" s="147"/>
      <c r="C426" s="166"/>
      <c r="D426" s="147"/>
      <c r="E426" s="147"/>
      <c r="F426" s="147"/>
      <c r="G426" s="147"/>
      <c r="H426" s="147"/>
      <c r="I426" s="147"/>
      <c r="J426" s="147"/>
    </row>
    <row r="427" spans="1:10">
      <c r="A427" s="147"/>
      <c r="B427" s="147"/>
      <c r="C427" s="166"/>
      <c r="D427" s="147"/>
      <c r="E427" s="147"/>
      <c r="F427" s="147"/>
      <c r="G427" s="147"/>
      <c r="H427" s="147"/>
      <c r="I427" s="147"/>
      <c r="J427" s="147"/>
    </row>
    <row r="428" spans="1:10">
      <c r="A428" s="147"/>
      <c r="B428" s="147"/>
      <c r="C428" s="166"/>
      <c r="D428" s="147"/>
      <c r="E428" s="147"/>
      <c r="F428" s="147"/>
      <c r="G428" s="147"/>
      <c r="H428" s="147"/>
      <c r="I428" s="147"/>
      <c r="J428" s="147"/>
    </row>
    <row r="429" spans="1:10">
      <c r="A429" s="147"/>
      <c r="B429" s="147"/>
      <c r="C429" s="166"/>
      <c r="D429" s="147"/>
      <c r="E429" s="147"/>
      <c r="F429" s="147"/>
      <c r="G429" s="147"/>
      <c r="H429" s="147"/>
      <c r="I429" s="147"/>
      <c r="J429" s="147"/>
    </row>
    <row r="430" spans="1:10">
      <c r="A430" s="147"/>
      <c r="B430" s="147"/>
      <c r="C430" s="166"/>
      <c r="D430" s="147"/>
      <c r="E430" s="147"/>
      <c r="F430" s="147"/>
      <c r="G430" s="147"/>
      <c r="H430" s="147"/>
      <c r="I430" s="147"/>
      <c r="J430" s="147"/>
    </row>
    <row r="431" spans="1:10">
      <c r="A431" s="147"/>
      <c r="B431" s="147"/>
      <c r="C431" s="166"/>
      <c r="D431" s="147"/>
      <c r="E431" s="147"/>
      <c r="F431" s="147"/>
      <c r="G431" s="147"/>
      <c r="H431" s="147"/>
      <c r="I431" s="147"/>
      <c r="J431" s="147"/>
    </row>
    <row r="432" spans="1:10">
      <c r="A432" s="147"/>
      <c r="B432" s="147"/>
      <c r="C432" s="166"/>
      <c r="D432" s="147"/>
      <c r="E432" s="147"/>
      <c r="F432" s="147"/>
      <c r="G432" s="147"/>
      <c r="H432" s="147"/>
      <c r="I432" s="147"/>
      <c r="J432" s="147"/>
    </row>
    <row r="433" spans="1:10">
      <c r="A433" s="147"/>
      <c r="B433" s="147"/>
      <c r="C433" s="166"/>
      <c r="D433" s="147"/>
      <c r="E433" s="147"/>
      <c r="F433" s="147"/>
      <c r="G433" s="147"/>
      <c r="H433" s="147"/>
      <c r="I433" s="147"/>
      <c r="J433" s="147"/>
    </row>
    <row r="434" spans="1:10">
      <c r="A434" s="147"/>
      <c r="B434" s="147"/>
      <c r="C434" s="166"/>
      <c r="D434" s="147"/>
      <c r="E434" s="147"/>
      <c r="F434" s="147"/>
      <c r="G434" s="147"/>
      <c r="H434" s="147"/>
      <c r="I434" s="147"/>
      <c r="J434" s="147"/>
    </row>
    <row r="435" spans="1:10">
      <c r="A435" s="147"/>
      <c r="B435" s="147"/>
      <c r="C435" s="166"/>
      <c r="D435" s="147"/>
      <c r="E435" s="147"/>
      <c r="F435" s="147"/>
      <c r="G435" s="147"/>
      <c r="H435" s="147"/>
      <c r="I435" s="147"/>
      <c r="J435" s="147"/>
    </row>
    <row r="436" spans="1:10">
      <c r="A436" s="147"/>
      <c r="B436" s="147"/>
      <c r="C436" s="166"/>
      <c r="D436" s="147"/>
      <c r="E436" s="147"/>
      <c r="F436" s="147"/>
      <c r="G436" s="147"/>
      <c r="H436" s="147"/>
      <c r="I436" s="147"/>
      <c r="J436" s="147"/>
    </row>
    <row r="437" spans="1:10">
      <c r="A437" s="147"/>
      <c r="B437" s="147"/>
      <c r="C437" s="166"/>
      <c r="D437" s="147"/>
      <c r="E437" s="147"/>
      <c r="F437" s="147"/>
      <c r="G437" s="147"/>
      <c r="H437" s="147"/>
      <c r="I437" s="147"/>
      <c r="J437" s="147"/>
    </row>
    <row r="438" spans="1:10">
      <c r="A438" s="147"/>
      <c r="B438" s="147"/>
      <c r="C438" s="166"/>
      <c r="D438" s="147"/>
      <c r="E438" s="147"/>
      <c r="F438" s="147"/>
      <c r="G438" s="147"/>
      <c r="H438" s="147"/>
      <c r="I438" s="147"/>
      <c r="J438" s="147"/>
    </row>
    <row r="439" spans="1:10">
      <c r="A439" s="147"/>
      <c r="B439" s="147"/>
      <c r="C439" s="166"/>
      <c r="D439" s="147"/>
      <c r="E439" s="147"/>
      <c r="F439" s="147"/>
      <c r="G439" s="147"/>
      <c r="H439" s="147"/>
      <c r="I439" s="147"/>
      <c r="J439" s="147"/>
    </row>
    <row r="440" spans="1:10">
      <c r="A440" s="147"/>
      <c r="B440" s="147"/>
      <c r="C440" s="166"/>
      <c r="D440" s="147"/>
      <c r="E440" s="147"/>
      <c r="F440" s="147"/>
      <c r="G440" s="147"/>
      <c r="H440" s="147"/>
      <c r="I440" s="147"/>
      <c r="J440" s="147"/>
    </row>
    <row r="441" spans="1:10">
      <c r="A441" s="147"/>
      <c r="B441" s="147"/>
      <c r="C441" s="166"/>
      <c r="D441" s="147"/>
      <c r="E441" s="147"/>
      <c r="F441" s="147"/>
      <c r="G441" s="147"/>
      <c r="H441" s="147"/>
      <c r="I441" s="147"/>
      <c r="J441" s="147"/>
    </row>
    <row r="442" spans="1:10">
      <c r="A442" s="147"/>
      <c r="B442" s="147"/>
      <c r="C442" s="166"/>
      <c r="D442" s="147"/>
      <c r="E442" s="147"/>
      <c r="F442" s="147"/>
      <c r="G442" s="147"/>
      <c r="H442" s="147"/>
      <c r="I442" s="147"/>
      <c r="J442" s="147"/>
    </row>
    <row r="443" spans="1:10">
      <c r="A443" s="147"/>
      <c r="B443" s="147"/>
      <c r="C443" s="166"/>
      <c r="D443" s="147"/>
      <c r="E443" s="147"/>
      <c r="F443" s="147"/>
      <c r="G443" s="147"/>
      <c r="H443" s="147"/>
      <c r="I443" s="147"/>
      <c r="J443" s="147"/>
    </row>
    <row r="444" spans="1:10">
      <c r="A444" s="147"/>
      <c r="B444" s="147"/>
      <c r="C444" s="166"/>
      <c r="D444" s="147"/>
      <c r="E444" s="147"/>
      <c r="F444" s="147"/>
      <c r="G444" s="147"/>
      <c r="H444" s="147"/>
      <c r="I444" s="147"/>
      <c r="J444" s="147"/>
    </row>
    <row r="445" spans="1:10">
      <c r="A445" s="147"/>
      <c r="B445" s="147"/>
      <c r="C445" s="166"/>
      <c r="D445" s="147"/>
      <c r="E445" s="147"/>
      <c r="F445" s="147"/>
      <c r="G445" s="147"/>
      <c r="H445" s="147"/>
      <c r="I445" s="147"/>
      <c r="J445" s="147"/>
    </row>
    <row r="446" spans="1:10">
      <c r="A446" s="147"/>
      <c r="B446" s="147"/>
      <c r="C446" s="166"/>
      <c r="D446" s="147"/>
      <c r="E446" s="147"/>
      <c r="F446" s="147"/>
      <c r="G446" s="147"/>
      <c r="H446" s="147"/>
      <c r="I446" s="147"/>
      <c r="J446" s="147"/>
    </row>
    <row r="447" spans="1:10">
      <c r="A447" s="147"/>
      <c r="B447" s="147"/>
      <c r="C447" s="166"/>
      <c r="D447" s="147"/>
      <c r="E447" s="147"/>
      <c r="F447" s="147"/>
      <c r="G447" s="147"/>
      <c r="H447" s="147"/>
      <c r="I447" s="147"/>
      <c r="J447" s="147"/>
    </row>
    <row r="448" spans="1:10">
      <c r="A448" s="147"/>
      <c r="B448" s="147"/>
      <c r="C448" s="166"/>
      <c r="D448" s="147"/>
      <c r="E448" s="147"/>
      <c r="F448" s="147"/>
      <c r="G448" s="147"/>
      <c r="H448" s="147"/>
      <c r="I448" s="147"/>
      <c r="J448" s="147"/>
    </row>
    <row r="449" spans="1:10">
      <c r="A449" s="147"/>
      <c r="B449" s="147"/>
      <c r="C449" s="166"/>
      <c r="D449" s="147"/>
      <c r="E449" s="147"/>
      <c r="F449" s="147"/>
      <c r="G449" s="147"/>
      <c r="H449" s="147"/>
      <c r="I449" s="147"/>
      <c r="J449" s="147"/>
    </row>
    <row r="450" spans="1:10">
      <c r="A450" s="147"/>
      <c r="B450" s="147"/>
      <c r="C450" s="166"/>
      <c r="D450" s="147"/>
      <c r="E450" s="147"/>
      <c r="F450" s="147"/>
      <c r="G450" s="147"/>
      <c r="H450" s="147"/>
      <c r="I450" s="147"/>
      <c r="J450" s="147"/>
    </row>
    <row r="451" spans="1:10">
      <c r="A451" s="147"/>
      <c r="B451" s="147"/>
      <c r="C451" s="166"/>
      <c r="D451" s="147"/>
      <c r="E451" s="147"/>
      <c r="F451" s="147"/>
      <c r="G451" s="147"/>
      <c r="H451" s="147"/>
      <c r="I451" s="147"/>
      <c r="J451" s="147"/>
    </row>
    <row r="452" spans="1:10">
      <c r="A452" s="147"/>
      <c r="B452" s="147"/>
      <c r="C452" s="166"/>
      <c r="D452" s="147"/>
      <c r="E452" s="147"/>
      <c r="F452" s="147"/>
      <c r="G452" s="147"/>
      <c r="H452" s="147"/>
      <c r="I452" s="147"/>
      <c r="J452" s="147"/>
    </row>
    <row r="453" spans="1:10">
      <c r="A453" s="147"/>
      <c r="B453" s="147"/>
      <c r="C453" s="166"/>
      <c r="D453" s="147"/>
      <c r="E453" s="147"/>
      <c r="F453" s="147"/>
      <c r="G453" s="147"/>
      <c r="H453" s="147"/>
      <c r="I453" s="147"/>
      <c r="J453" s="147"/>
    </row>
    <row r="454" spans="1:10">
      <c r="A454" s="147"/>
      <c r="B454" s="147"/>
      <c r="C454" s="166"/>
      <c r="D454" s="147"/>
      <c r="E454" s="147"/>
      <c r="F454" s="147"/>
      <c r="G454" s="147"/>
      <c r="H454" s="147"/>
      <c r="I454" s="147"/>
      <c r="J454" s="147"/>
    </row>
    <row r="455" spans="1:10">
      <c r="A455" s="147"/>
      <c r="B455" s="147"/>
      <c r="C455" s="166"/>
      <c r="D455" s="147"/>
      <c r="E455" s="147"/>
      <c r="F455" s="147"/>
      <c r="G455" s="147"/>
      <c r="H455" s="147"/>
      <c r="I455" s="147"/>
      <c r="J455" s="147"/>
    </row>
    <row r="456" spans="1:10">
      <c r="A456" s="147"/>
      <c r="B456" s="147"/>
      <c r="C456" s="166"/>
      <c r="D456" s="147"/>
      <c r="E456" s="147"/>
      <c r="F456" s="147"/>
      <c r="G456" s="147"/>
      <c r="H456" s="147"/>
      <c r="I456" s="147"/>
      <c r="J456" s="147"/>
    </row>
    <row r="457" spans="1:10">
      <c r="A457" s="147"/>
      <c r="B457" s="147"/>
      <c r="C457" s="166"/>
      <c r="D457" s="147"/>
      <c r="E457" s="147"/>
      <c r="F457" s="147"/>
      <c r="G457" s="147"/>
      <c r="H457" s="147"/>
      <c r="I457" s="147"/>
      <c r="J457" s="147"/>
    </row>
    <row r="458" spans="1:10">
      <c r="A458" s="147"/>
      <c r="B458" s="147"/>
      <c r="C458" s="166"/>
      <c r="D458" s="147"/>
      <c r="E458" s="147"/>
      <c r="F458" s="147"/>
      <c r="G458" s="147"/>
      <c r="H458" s="147"/>
      <c r="I458" s="147"/>
      <c r="J458" s="147"/>
    </row>
    <row r="459" spans="1:10">
      <c r="A459" s="147"/>
      <c r="B459" s="147"/>
      <c r="C459" s="166"/>
      <c r="D459" s="147"/>
      <c r="E459" s="147"/>
      <c r="F459" s="147"/>
      <c r="G459" s="147"/>
      <c r="H459" s="147"/>
      <c r="I459" s="147"/>
      <c r="J459" s="147"/>
    </row>
    <row r="460" spans="1:10">
      <c r="A460" s="147"/>
      <c r="B460" s="147"/>
      <c r="C460" s="166"/>
      <c r="D460" s="147"/>
      <c r="E460" s="147"/>
      <c r="F460" s="147"/>
      <c r="G460" s="147"/>
      <c r="H460" s="147"/>
      <c r="I460" s="147"/>
      <c r="J460" s="147"/>
    </row>
    <row r="461" spans="1:10">
      <c r="A461" s="147"/>
      <c r="B461" s="147"/>
      <c r="C461" s="166"/>
      <c r="D461" s="147"/>
      <c r="E461" s="147"/>
      <c r="F461" s="147"/>
      <c r="G461" s="147"/>
      <c r="H461" s="147"/>
      <c r="I461" s="147"/>
      <c r="J461" s="147"/>
    </row>
    <row r="462" spans="1:10">
      <c r="A462" s="147"/>
      <c r="B462" s="147"/>
      <c r="C462" s="166"/>
      <c r="D462" s="147"/>
      <c r="E462" s="147"/>
      <c r="F462" s="147"/>
      <c r="G462" s="147"/>
      <c r="H462" s="147"/>
      <c r="I462" s="147"/>
      <c r="J462" s="147"/>
    </row>
    <row r="463" spans="1:10">
      <c r="A463" s="147"/>
      <c r="B463" s="147"/>
      <c r="C463" s="166"/>
      <c r="D463" s="147"/>
      <c r="E463" s="147"/>
      <c r="F463" s="147"/>
      <c r="G463" s="147"/>
      <c r="H463" s="147"/>
      <c r="I463" s="147"/>
      <c r="J463" s="147"/>
    </row>
    <row r="464" spans="1:10">
      <c r="A464" s="147"/>
      <c r="B464" s="147"/>
      <c r="C464" s="166"/>
      <c r="D464" s="147"/>
      <c r="E464" s="147"/>
      <c r="F464" s="147"/>
      <c r="G464" s="147"/>
      <c r="H464" s="147"/>
      <c r="I464" s="147"/>
      <c r="J464" s="147"/>
    </row>
    <row r="465" spans="1:10">
      <c r="A465" s="147"/>
      <c r="B465" s="147"/>
      <c r="C465" s="166"/>
      <c r="D465" s="147"/>
      <c r="E465" s="147"/>
      <c r="F465" s="147"/>
      <c r="G465" s="147"/>
      <c r="H465" s="147"/>
      <c r="I465" s="147"/>
      <c r="J465" s="147"/>
    </row>
    <row r="466" spans="1:10">
      <c r="A466" s="147"/>
      <c r="B466" s="147"/>
      <c r="C466" s="166"/>
      <c r="D466" s="147"/>
      <c r="E466" s="147"/>
      <c r="F466" s="147"/>
      <c r="G466" s="147"/>
      <c r="H466" s="147"/>
      <c r="I466" s="147"/>
      <c r="J466" s="147"/>
    </row>
    <row r="467" spans="1:10">
      <c r="A467" s="147"/>
      <c r="B467" s="147"/>
      <c r="C467" s="166"/>
      <c r="D467" s="147"/>
      <c r="E467" s="147"/>
      <c r="F467" s="147"/>
      <c r="G467" s="147"/>
      <c r="H467" s="147"/>
      <c r="I467" s="147"/>
      <c r="J467" s="147"/>
    </row>
    <row r="468" spans="1:10">
      <c r="A468" s="147"/>
      <c r="B468" s="147"/>
      <c r="C468" s="166"/>
      <c r="D468" s="147"/>
      <c r="E468" s="147"/>
      <c r="F468" s="147"/>
      <c r="G468" s="147"/>
      <c r="H468" s="147"/>
      <c r="I468" s="147"/>
      <c r="J468" s="147"/>
    </row>
    <row r="469" spans="1:10">
      <c r="A469" s="147"/>
      <c r="B469" s="147"/>
      <c r="C469" s="166"/>
      <c r="D469" s="147"/>
      <c r="E469" s="147"/>
      <c r="F469" s="147"/>
      <c r="G469" s="147"/>
      <c r="H469" s="147"/>
      <c r="I469" s="147"/>
      <c r="J469" s="147"/>
    </row>
    <row r="470" spans="1:10">
      <c r="A470" s="147"/>
      <c r="B470" s="147"/>
      <c r="C470" s="166"/>
      <c r="D470" s="147"/>
      <c r="E470" s="147"/>
      <c r="F470" s="147"/>
      <c r="G470" s="147"/>
      <c r="H470" s="147"/>
      <c r="I470" s="147"/>
      <c r="J470" s="147"/>
    </row>
    <row r="471" spans="1:10">
      <c r="A471" s="147"/>
      <c r="B471" s="147"/>
      <c r="C471" s="166"/>
      <c r="D471" s="147"/>
      <c r="E471" s="147"/>
      <c r="F471" s="147"/>
      <c r="G471" s="147"/>
      <c r="H471" s="147"/>
      <c r="I471" s="147"/>
      <c r="J471" s="147"/>
    </row>
    <row r="472" spans="1:10">
      <c r="A472" s="147"/>
      <c r="B472" s="147"/>
      <c r="C472" s="166"/>
      <c r="D472" s="147"/>
      <c r="E472" s="147"/>
      <c r="F472" s="147"/>
      <c r="G472" s="147"/>
      <c r="H472" s="147"/>
      <c r="I472" s="147"/>
      <c r="J472" s="147"/>
    </row>
    <row r="473" spans="1:10">
      <c r="A473" s="147"/>
      <c r="B473" s="147"/>
      <c r="C473" s="166"/>
      <c r="D473" s="147"/>
      <c r="E473" s="147"/>
      <c r="F473" s="147"/>
      <c r="G473" s="147"/>
      <c r="H473" s="147"/>
      <c r="I473" s="147"/>
      <c r="J473" s="147"/>
    </row>
    <row r="474" spans="1:10">
      <c r="A474" s="147"/>
      <c r="B474" s="147"/>
      <c r="C474" s="166"/>
      <c r="D474" s="147"/>
      <c r="E474" s="147"/>
      <c r="F474" s="147"/>
      <c r="G474" s="147"/>
      <c r="H474" s="147"/>
      <c r="I474" s="147"/>
      <c r="J474" s="147"/>
    </row>
    <row r="475" spans="1:10">
      <c r="A475" s="147"/>
      <c r="B475" s="147"/>
      <c r="C475" s="166"/>
      <c r="D475" s="147"/>
      <c r="E475" s="147"/>
      <c r="F475" s="147"/>
      <c r="G475" s="147"/>
      <c r="H475" s="147"/>
      <c r="I475" s="147"/>
      <c r="J475" s="147"/>
    </row>
    <row r="476" spans="1:10">
      <c r="A476" s="147"/>
      <c r="B476" s="147"/>
      <c r="C476" s="166"/>
      <c r="D476" s="147"/>
      <c r="E476" s="147"/>
      <c r="F476" s="147"/>
      <c r="G476" s="147"/>
      <c r="H476" s="147"/>
      <c r="I476" s="147"/>
      <c r="J476" s="147"/>
    </row>
    <row r="477" spans="1:10">
      <c r="A477" s="147"/>
      <c r="B477" s="147"/>
      <c r="C477" s="166"/>
      <c r="D477" s="147"/>
      <c r="E477" s="147"/>
      <c r="F477" s="147"/>
      <c r="G477" s="147"/>
      <c r="H477" s="147"/>
      <c r="I477" s="147"/>
      <c r="J477" s="147"/>
    </row>
    <row r="478" spans="1:10">
      <c r="A478" s="147"/>
      <c r="B478" s="147"/>
      <c r="C478" s="166"/>
      <c r="D478" s="147"/>
      <c r="E478" s="147"/>
      <c r="F478" s="147"/>
      <c r="G478" s="147"/>
      <c r="H478" s="147"/>
      <c r="I478" s="147"/>
      <c r="J478" s="147"/>
    </row>
    <row r="479" spans="1:10">
      <c r="A479" s="147"/>
      <c r="B479" s="147"/>
      <c r="C479" s="166"/>
      <c r="D479" s="147"/>
      <c r="E479" s="147"/>
      <c r="F479" s="147"/>
      <c r="G479" s="147"/>
      <c r="H479" s="147"/>
      <c r="I479" s="147"/>
      <c r="J479" s="147"/>
    </row>
    <row r="480" spans="1:10">
      <c r="A480" s="147"/>
      <c r="B480" s="147"/>
      <c r="C480" s="166"/>
      <c r="D480" s="147"/>
      <c r="E480" s="147"/>
      <c r="F480" s="147"/>
      <c r="G480" s="147"/>
      <c r="H480" s="147"/>
      <c r="I480" s="147"/>
      <c r="J480" s="147"/>
    </row>
    <row r="481" spans="1:10">
      <c r="A481" s="147"/>
      <c r="B481" s="147"/>
      <c r="C481" s="166"/>
      <c r="D481" s="147"/>
      <c r="E481" s="147"/>
      <c r="F481" s="147"/>
      <c r="G481" s="147"/>
      <c r="H481" s="147"/>
      <c r="I481" s="147"/>
      <c r="J481" s="147"/>
    </row>
    <row r="482" spans="1:10">
      <c r="A482" s="147"/>
      <c r="B482" s="147"/>
      <c r="C482" s="166"/>
      <c r="D482" s="147"/>
      <c r="E482" s="147"/>
      <c r="F482" s="147"/>
      <c r="G482" s="147"/>
      <c r="H482" s="147"/>
      <c r="I482" s="147"/>
      <c r="J482" s="147"/>
    </row>
    <row r="483" spans="1:10">
      <c r="A483" s="147"/>
      <c r="B483" s="147"/>
      <c r="C483" s="166"/>
      <c r="D483" s="147"/>
      <c r="E483" s="147"/>
      <c r="F483" s="147"/>
      <c r="G483" s="147"/>
      <c r="H483" s="147"/>
      <c r="I483" s="147"/>
      <c r="J483" s="147"/>
    </row>
    <row r="484" spans="1:10">
      <c r="A484" s="147"/>
      <c r="B484" s="147"/>
      <c r="C484" s="166"/>
      <c r="D484" s="147"/>
      <c r="E484" s="147"/>
      <c r="F484" s="147"/>
      <c r="G484" s="147"/>
      <c r="H484" s="147"/>
      <c r="I484" s="147"/>
      <c r="J484" s="147"/>
    </row>
    <row r="485" spans="1:10">
      <c r="A485" s="147"/>
      <c r="B485" s="147"/>
      <c r="C485" s="166"/>
      <c r="D485" s="147"/>
      <c r="E485" s="147"/>
      <c r="F485" s="147"/>
      <c r="G485" s="147"/>
      <c r="H485" s="147"/>
      <c r="I485" s="147"/>
      <c r="J485" s="147"/>
    </row>
    <row r="486" spans="1:10">
      <c r="A486" s="147"/>
      <c r="B486" s="147"/>
      <c r="C486" s="166"/>
      <c r="D486" s="147"/>
      <c r="E486" s="147"/>
      <c r="F486" s="147"/>
      <c r="G486" s="147"/>
      <c r="H486" s="147"/>
      <c r="I486" s="147"/>
      <c r="J486" s="147"/>
    </row>
    <row r="487" spans="1:10">
      <c r="A487" s="147"/>
      <c r="B487" s="147"/>
      <c r="C487" s="166"/>
      <c r="D487" s="147"/>
      <c r="E487" s="147"/>
      <c r="F487" s="147"/>
      <c r="G487" s="147"/>
      <c r="H487" s="147"/>
      <c r="I487" s="147"/>
      <c r="J487" s="147"/>
    </row>
    <row r="488" spans="1:10">
      <c r="A488" s="147"/>
      <c r="B488" s="147"/>
      <c r="C488" s="166"/>
      <c r="D488" s="147"/>
      <c r="E488" s="147"/>
      <c r="F488" s="147"/>
      <c r="G488" s="147"/>
      <c r="H488" s="147"/>
      <c r="I488" s="147"/>
      <c r="J488" s="147"/>
    </row>
    <row r="489" spans="1:10">
      <c r="A489" s="147"/>
      <c r="B489" s="147"/>
      <c r="C489" s="166"/>
      <c r="D489" s="147"/>
      <c r="E489" s="147"/>
      <c r="F489" s="147"/>
      <c r="G489" s="147"/>
      <c r="H489" s="147"/>
      <c r="I489" s="147"/>
      <c r="J489" s="147"/>
    </row>
    <row r="490" spans="1:10">
      <c r="A490" s="147"/>
      <c r="B490" s="147"/>
      <c r="C490" s="166"/>
      <c r="D490" s="147"/>
      <c r="E490" s="147"/>
      <c r="F490" s="147"/>
      <c r="G490" s="147"/>
      <c r="H490" s="147"/>
      <c r="I490" s="147"/>
      <c r="J490" s="147"/>
    </row>
    <row r="491" spans="1:10">
      <c r="A491" s="147"/>
      <c r="B491" s="147"/>
      <c r="C491" s="166"/>
      <c r="D491" s="147"/>
      <c r="E491" s="147"/>
      <c r="F491" s="147"/>
      <c r="G491" s="147"/>
      <c r="H491" s="147"/>
      <c r="I491" s="147"/>
      <c r="J491" s="147"/>
    </row>
    <row r="492" spans="1:10">
      <c r="A492" s="147"/>
      <c r="B492" s="147"/>
      <c r="C492" s="166"/>
      <c r="D492" s="147"/>
      <c r="E492" s="147"/>
      <c r="F492" s="147"/>
      <c r="G492" s="147"/>
      <c r="H492" s="147"/>
      <c r="I492" s="147"/>
      <c r="J492" s="147"/>
    </row>
    <row r="493" spans="1:10">
      <c r="A493" s="147"/>
      <c r="B493" s="147"/>
      <c r="C493" s="166"/>
      <c r="D493" s="147"/>
      <c r="E493" s="147"/>
      <c r="F493" s="147"/>
      <c r="G493" s="147"/>
      <c r="H493" s="147"/>
      <c r="I493" s="147"/>
      <c r="J493" s="147"/>
    </row>
    <row r="494" spans="1:10">
      <c r="A494" s="147"/>
      <c r="B494" s="147"/>
      <c r="C494" s="166"/>
      <c r="D494" s="147"/>
      <c r="E494" s="147"/>
      <c r="F494" s="147"/>
      <c r="G494" s="147"/>
      <c r="H494" s="147"/>
      <c r="I494" s="147"/>
      <c r="J494" s="147"/>
    </row>
    <row r="495" spans="1:10">
      <c r="A495" s="147"/>
      <c r="B495" s="147"/>
      <c r="C495" s="166"/>
      <c r="D495" s="147"/>
      <c r="E495" s="147"/>
      <c r="F495" s="147"/>
      <c r="G495" s="147"/>
      <c r="H495" s="147"/>
      <c r="I495" s="147"/>
      <c r="J495" s="147"/>
    </row>
    <row r="496" spans="1:10">
      <c r="A496" s="147"/>
      <c r="B496" s="147"/>
      <c r="C496" s="166"/>
      <c r="D496" s="147"/>
      <c r="E496" s="147"/>
      <c r="F496" s="147"/>
      <c r="G496" s="147"/>
      <c r="H496" s="147"/>
      <c r="I496" s="147"/>
      <c r="J496" s="147"/>
    </row>
    <row r="497" spans="1:10">
      <c r="A497" s="147"/>
      <c r="B497" s="147"/>
      <c r="C497" s="166"/>
      <c r="D497" s="147"/>
      <c r="E497" s="147"/>
      <c r="F497" s="147"/>
      <c r="G497" s="147"/>
      <c r="H497" s="147"/>
      <c r="I497" s="147"/>
      <c r="J497" s="147"/>
    </row>
    <row r="498" spans="1:10">
      <c r="A498" s="147"/>
      <c r="B498" s="147"/>
      <c r="C498" s="166"/>
      <c r="D498" s="147"/>
      <c r="E498" s="147"/>
      <c r="F498" s="147"/>
      <c r="G498" s="147"/>
      <c r="H498" s="147"/>
      <c r="I498" s="147"/>
      <c r="J498" s="147"/>
    </row>
    <row r="499" spans="1:10">
      <c r="A499" s="147"/>
      <c r="B499" s="147"/>
      <c r="C499" s="166"/>
      <c r="D499" s="147"/>
      <c r="E499" s="147"/>
      <c r="F499" s="147"/>
      <c r="G499" s="147"/>
      <c r="H499" s="147"/>
      <c r="I499" s="147"/>
      <c r="J499" s="147"/>
    </row>
    <row r="500" spans="1:10">
      <c r="A500" s="147"/>
      <c r="B500" s="147"/>
      <c r="C500" s="166"/>
      <c r="D500" s="147"/>
      <c r="E500" s="147"/>
      <c r="F500" s="147"/>
      <c r="G500" s="147"/>
      <c r="H500" s="147"/>
      <c r="I500" s="147"/>
      <c r="J500" s="147"/>
    </row>
    <row r="501" spans="1:10">
      <c r="A501" s="147"/>
      <c r="B501" s="147"/>
      <c r="C501" s="166"/>
      <c r="D501" s="147"/>
      <c r="E501" s="147"/>
      <c r="F501" s="147"/>
      <c r="G501" s="147"/>
      <c r="H501" s="147"/>
      <c r="I501" s="147"/>
      <c r="J501" s="147"/>
    </row>
    <row r="502" spans="1:10">
      <c r="A502" s="147"/>
      <c r="B502" s="147"/>
      <c r="C502" s="166"/>
      <c r="D502" s="147"/>
      <c r="E502" s="147"/>
      <c r="F502" s="147"/>
      <c r="G502" s="147"/>
      <c r="H502" s="147"/>
      <c r="I502" s="147"/>
      <c r="J502" s="147"/>
    </row>
    <row r="503" spans="1:10">
      <c r="A503" s="147"/>
      <c r="B503" s="147"/>
      <c r="C503" s="166"/>
      <c r="D503" s="147"/>
      <c r="E503" s="147"/>
      <c r="F503" s="147"/>
      <c r="G503" s="147"/>
      <c r="H503" s="147"/>
      <c r="I503" s="147"/>
      <c r="J503" s="147"/>
    </row>
    <row r="504" spans="1:10">
      <c r="A504" s="147"/>
      <c r="B504" s="147"/>
      <c r="C504" s="166"/>
      <c r="D504" s="147"/>
      <c r="E504" s="147"/>
      <c r="F504" s="147"/>
      <c r="G504" s="147"/>
      <c r="H504" s="147"/>
      <c r="I504" s="147"/>
      <c r="J504" s="147"/>
    </row>
    <row r="505" spans="1:10">
      <c r="A505" s="147"/>
      <c r="B505" s="147"/>
      <c r="C505" s="166"/>
      <c r="D505" s="147"/>
      <c r="E505" s="147"/>
      <c r="F505" s="147"/>
      <c r="G505" s="147"/>
      <c r="H505" s="147"/>
      <c r="I505" s="147"/>
      <c r="J505" s="147"/>
    </row>
    <row r="506" spans="1:10">
      <c r="A506" s="147"/>
      <c r="B506" s="147"/>
      <c r="C506" s="166"/>
      <c r="D506" s="147"/>
      <c r="E506" s="147"/>
      <c r="F506" s="147"/>
      <c r="G506" s="147"/>
      <c r="H506" s="147"/>
      <c r="I506" s="147"/>
      <c r="J506" s="147"/>
    </row>
    <row r="507" spans="1:10">
      <c r="A507" s="147"/>
      <c r="B507" s="147"/>
      <c r="C507" s="166"/>
      <c r="D507" s="147"/>
      <c r="E507" s="147"/>
      <c r="F507" s="147"/>
      <c r="G507" s="147"/>
      <c r="H507" s="147"/>
      <c r="I507" s="147"/>
      <c r="J507" s="147"/>
    </row>
    <row r="508" spans="1:10">
      <c r="A508" s="147"/>
      <c r="B508" s="147"/>
      <c r="C508" s="166"/>
      <c r="D508" s="147"/>
      <c r="E508" s="147"/>
      <c r="F508" s="147"/>
      <c r="G508" s="147"/>
      <c r="H508" s="147"/>
      <c r="I508" s="147"/>
      <c r="J508" s="147"/>
    </row>
    <row r="509" spans="1:10">
      <c r="A509" s="147"/>
      <c r="B509" s="147"/>
      <c r="C509" s="166"/>
      <c r="D509" s="147"/>
      <c r="E509" s="147"/>
      <c r="F509" s="147"/>
      <c r="G509" s="147"/>
      <c r="H509" s="147"/>
      <c r="I509" s="147"/>
      <c r="J509" s="147"/>
    </row>
    <row r="510" spans="1:10">
      <c r="A510" s="147"/>
      <c r="B510" s="147"/>
      <c r="C510" s="166"/>
      <c r="D510" s="147"/>
      <c r="E510" s="147"/>
      <c r="F510" s="147"/>
      <c r="G510" s="147"/>
      <c r="H510" s="147"/>
      <c r="I510" s="147"/>
      <c r="J510" s="147"/>
    </row>
    <row r="511" spans="1:10">
      <c r="A511" s="147"/>
      <c r="B511" s="147"/>
      <c r="C511" s="166"/>
      <c r="D511" s="147"/>
      <c r="E511" s="147"/>
      <c r="F511" s="147"/>
      <c r="G511" s="147"/>
      <c r="H511" s="147"/>
      <c r="I511" s="147"/>
      <c r="J511" s="147"/>
    </row>
    <row r="512" spans="1:10">
      <c r="A512" s="147"/>
      <c r="B512" s="147"/>
      <c r="C512" s="166"/>
      <c r="D512" s="147"/>
      <c r="E512" s="147"/>
      <c r="F512" s="147"/>
      <c r="G512" s="147"/>
      <c r="H512" s="147"/>
      <c r="I512" s="147"/>
      <c r="J512" s="147"/>
    </row>
    <row r="513" spans="1:10">
      <c r="A513" s="147"/>
      <c r="B513" s="147"/>
      <c r="C513" s="166"/>
      <c r="D513" s="147"/>
      <c r="E513" s="147"/>
      <c r="F513" s="147"/>
      <c r="G513" s="147"/>
      <c r="H513" s="147"/>
      <c r="I513" s="147"/>
      <c r="J513" s="147"/>
    </row>
    <row r="514" spans="1:10">
      <c r="A514" s="147"/>
      <c r="B514" s="147"/>
      <c r="C514" s="166"/>
      <c r="D514" s="147"/>
      <c r="E514" s="147"/>
      <c r="F514" s="147"/>
      <c r="G514" s="147"/>
      <c r="H514" s="147"/>
      <c r="I514" s="147"/>
      <c r="J514" s="147"/>
    </row>
    <row r="515" spans="1:10">
      <c r="A515" s="147"/>
      <c r="B515" s="147"/>
      <c r="C515" s="166"/>
      <c r="D515" s="147"/>
      <c r="E515" s="147"/>
      <c r="F515" s="147"/>
      <c r="G515" s="147"/>
      <c r="H515" s="147"/>
      <c r="I515" s="147"/>
      <c r="J515" s="147"/>
    </row>
    <row r="516" spans="1:10">
      <c r="A516" s="147"/>
      <c r="B516" s="147"/>
      <c r="C516" s="166"/>
      <c r="D516" s="147"/>
      <c r="E516" s="147"/>
      <c r="F516" s="147"/>
      <c r="G516" s="147"/>
      <c r="H516" s="147"/>
      <c r="I516" s="147"/>
      <c r="J516" s="147"/>
    </row>
    <row r="517" spans="1:10">
      <c r="A517" s="147"/>
      <c r="B517" s="147"/>
      <c r="C517" s="166"/>
      <c r="D517" s="147"/>
      <c r="E517" s="147"/>
      <c r="F517" s="147"/>
      <c r="G517" s="147"/>
      <c r="H517" s="147"/>
      <c r="I517" s="147"/>
      <c r="J517" s="147"/>
    </row>
    <row r="518" spans="1:10">
      <c r="A518" s="147"/>
      <c r="B518" s="147"/>
      <c r="C518" s="166"/>
      <c r="D518" s="147"/>
      <c r="E518" s="147"/>
      <c r="F518" s="147"/>
      <c r="G518" s="147"/>
      <c r="H518" s="147"/>
      <c r="I518" s="147"/>
      <c r="J518" s="147"/>
    </row>
    <row r="519" spans="1:10">
      <c r="A519" s="147"/>
      <c r="B519" s="147"/>
      <c r="C519" s="166"/>
      <c r="D519" s="147"/>
      <c r="E519" s="147"/>
      <c r="F519" s="147"/>
      <c r="G519" s="147"/>
      <c r="H519" s="147"/>
      <c r="I519" s="147"/>
      <c r="J519" s="147"/>
    </row>
    <row r="520" spans="1:10">
      <c r="A520" s="147"/>
      <c r="B520" s="147"/>
      <c r="C520" s="166"/>
      <c r="D520" s="147"/>
      <c r="E520" s="147"/>
      <c r="F520" s="147"/>
      <c r="G520" s="147"/>
      <c r="H520" s="147"/>
      <c r="I520" s="147"/>
      <c r="J520" s="147"/>
    </row>
    <row r="521" spans="1:10">
      <c r="A521" s="147"/>
      <c r="B521" s="147"/>
      <c r="C521" s="166"/>
      <c r="D521" s="147"/>
      <c r="E521" s="147"/>
      <c r="F521" s="147"/>
      <c r="G521" s="147"/>
      <c r="H521" s="147"/>
      <c r="I521" s="147"/>
      <c r="J521" s="147"/>
    </row>
    <row r="522" spans="1:10">
      <c r="A522" s="147"/>
      <c r="B522" s="147"/>
      <c r="C522" s="166"/>
      <c r="D522" s="147"/>
      <c r="E522" s="147"/>
      <c r="F522" s="147"/>
      <c r="G522" s="147"/>
      <c r="H522" s="147"/>
      <c r="I522" s="147"/>
      <c r="J522" s="147"/>
    </row>
    <row r="523" spans="1:10">
      <c r="A523" s="147"/>
      <c r="B523" s="147"/>
      <c r="C523" s="166"/>
      <c r="D523" s="147"/>
      <c r="E523" s="147"/>
      <c r="F523" s="147"/>
      <c r="G523" s="147"/>
      <c r="H523" s="147"/>
      <c r="I523" s="147"/>
      <c r="J523" s="147"/>
    </row>
    <row r="524" spans="1:10">
      <c r="A524" s="147"/>
      <c r="B524" s="147"/>
      <c r="C524" s="166"/>
      <c r="D524" s="147"/>
      <c r="E524" s="147"/>
      <c r="F524" s="147"/>
      <c r="G524" s="147"/>
      <c r="H524" s="147"/>
      <c r="I524" s="147"/>
      <c r="J524" s="147"/>
    </row>
    <row r="525" spans="1:10">
      <c r="A525" s="147"/>
      <c r="B525" s="147"/>
      <c r="C525" s="166"/>
      <c r="D525" s="147"/>
      <c r="E525" s="147"/>
      <c r="F525" s="147"/>
      <c r="G525" s="147"/>
      <c r="H525" s="147"/>
      <c r="I525" s="147"/>
      <c r="J525" s="147"/>
    </row>
    <row r="526" spans="1:10">
      <c r="A526" s="147"/>
      <c r="B526" s="147"/>
      <c r="C526" s="166"/>
      <c r="D526" s="147"/>
      <c r="E526" s="147"/>
      <c r="F526" s="147"/>
      <c r="G526" s="147"/>
      <c r="H526" s="147"/>
      <c r="I526" s="147"/>
      <c r="J526" s="147"/>
    </row>
    <row r="527" spans="1:10">
      <c r="A527" s="147"/>
      <c r="B527" s="147"/>
      <c r="C527" s="166"/>
      <c r="D527" s="147"/>
      <c r="E527" s="147"/>
      <c r="F527" s="147"/>
      <c r="G527" s="147"/>
      <c r="H527" s="147"/>
      <c r="I527" s="147"/>
      <c r="J527" s="147"/>
    </row>
    <row r="528" spans="1:10">
      <c r="A528" s="147"/>
      <c r="B528" s="147"/>
      <c r="C528" s="166"/>
      <c r="D528" s="147"/>
      <c r="E528" s="147"/>
      <c r="F528" s="147"/>
      <c r="G528" s="147"/>
      <c r="H528" s="147"/>
      <c r="I528" s="147"/>
      <c r="J528" s="147"/>
    </row>
    <row r="529" spans="1:10">
      <c r="A529" s="147"/>
      <c r="B529" s="147"/>
      <c r="C529" s="166"/>
      <c r="D529" s="147"/>
      <c r="E529" s="147"/>
      <c r="F529" s="147"/>
      <c r="G529" s="147"/>
      <c r="H529" s="147"/>
      <c r="I529" s="147"/>
      <c r="J529" s="147"/>
    </row>
    <row r="530" spans="1:10">
      <c r="A530" s="147"/>
      <c r="B530" s="147"/>
      <c r="C530" s="166"/>
      <c r="D530" s="147"/>
      <c r="E530" s="147"/>
      <c r="F530" s="147"/>
      <c r="G530" s="147"/>
      <c r="H530" s="147"/>
      <c r="I530" s="147"/>
      <c r="J530" s="147"/>
    </row>
    <row r="531" spans="1:10">
      <c r="A531" s="147"/>
      <c r="B531" s="147"/>
      <c r="C531" s="166"/>
      <c r="D531" s="147"/>
      <c r="E531" s="147"/>
      <c r="F531" s="147"/>
      <c r="G531" s="147"/>
      <c r="H531" s="147"/>
      <c r="I531" s="147"/>
      <c r="J531" s="147"/>
    </row>
    <row r="532" spans="1:10">
      <c r="A532" s="147"/>
      <c r="B532" s="147"/>
      <c r="C532" s="166"/>
      <c r="D532" s="147"/>
      <c r="E532" s="147"/>
      <c r="F532" s="147"/>
      <c r="G532" s="147"/>
      <c r="H532" s="147"/>
      <c r="I532" s="147"/>
      <c r="J532" s="147"/>
    </row>
    <row r="533" spans="1:10">
      <c r="A533" s="147"/>
      <c r="B533" s="147"/>
      <c r="C533" s="166"/>
      <c r="D533" s="147"/>
      <c r="E533" s="147"/>
      <c r="F533" s="147"/>
      <c r="G533" s="147"/>
      <c r="H533" s="147"/>
      <c r="I533" s="147"/>
      <c r="J533" s="147"/>
    </row>
    <row r="534" spans="1:10">
      <c r="A534" s="147"/>
      <c r="B534" s="147"/>
      <c r="C534" s="166"/>
      <c r="D534" s="147"/>
      <c r="E534" s="147"/>
      <c r="F534" s="147"/>
      <c r="G534" s="147"/>
      <c r="H534" s="147"/>
      <c r="I534" s="147"/>
      <c r="J534" s="147"/>
    </row>
    <row r="535" spans="1:10">
      <c r="A535" s="147"/>
      <c r="B535" s="147"/>
      <c r="C535" s="166"/>
      <c r="D535" s="147"/>
      <c r="E535" s="147"/>
      <c r="F535" s="147"/>
      <c r="G535" s="147"/>
      <c r="H535" s="147"/>
      <c r="I535" s="147"/>
      <c r="J535" s="147"/>
    </row>
    <row r="536" spans="1:10">
      <c r="A536" s="147"/>
      <c r="B536" s="147"/>
      <c r="C536" s="166"/>
      <c r="D536" s="147"/>
      <c r="E536" s="147"/>
      <c r="F536" s="147"/>
      <c r="G536" s="147"/>
      <c r="H536" s="147"/>
      <c r="I536" s="147"/>
      <c r="J536" s="147"/>
    </row>
    <row r="537" spans="1:10">
      <c r="A537" s="147"/>
      <c r="B537" s="147"/>
      <c r="C537" s="166"/>
      <c r="D537" s="147"/>
      <c r="E537" s="147"/>
      <c r="F537" s="147"/>
      <c r="G537" s="147"/>
      <c r="H537" s="147"/>
      <c r="I537" s="147"/>
      <c r="J537" s="147"/>
    </row>
    <row r="538" spans="1:10">
      <c r="A538" s="147"/>
      <c r="B538" s="147"/>
      <c r="C538" s="166"/>
      <c r="D538" s="147"/>
      <c r="E538" s="147"/>
      <c r="F538" s="147"/>
      <c r="G538" s="147"/>
      <c r="H538" s="147"/>
      <c r="I538" s="147"/>
      <c r="J538" s="147"/>
    </row>
    <row r="539" spans="1:10">
      <c r="A539" s="147"/>
      <c r="B539" s="147"/>
      <c r="C539" s="166"/>
      <c r="D539" s="147"/>
      <c r="E539" s="147"/>
      <c r="F539" s="147"/>
      <c r="G539" s="147"/>
      <c r="H539" s="147"/>
      <c r="I539" s="147"/>
      <c r="J539" s="147"/>
    </row>
    <row r="540" spans="1:10">
      <c r="A540" s="147"/>
      <c r="B540" s="147"/>
      <c r="C540" s="166"/>
      <c r="D540" s="147"/>
      <c r="E540" s="147"/>
      <c r="F540" s="147"/>
      <c r="G540" s="147"/>
      <c r="H540" s="147"/>
      <c r="I540" s="147"/>
      <c r="J540" s="147"/>
    </row>
    <row r="541" spans="1:10">
      <c r="A541" s="147"/>
      <c r="B541" s="147"/>
      <c r="C541" s="166"/>
      <c r="D541" s="147"/>
      <c r="E541" s="147"/>
      <c r="F541" s="147"/>
      <c r="G541" s="147"/>
      <c r="H541" s="147"/>
      <c r="I541" s="147"/>
      <c r="J541" s="147"/>
    </row>
    <row r="542" spans="1:10">
      <c r="A542" s="147"/>
      <c r="B542" s="147"/>
      <c r="C542" s="166"/>
      <c r="D542" s="147"/>
      <c r="E542" s="147"/>
      <c r="F542" s="147"/>
      <c r="G542" s="147"/>
      <c r="H542" s="147"/>
      <c r="I542" s="147"/>
      <c r="J542" s="147"/>
    </row>
    <row r="543" spans="1:10">
      <c r="A543" s="147"/>
      <c r="B543" s="147"/>
      <c r="C543" s="166"/>
      <c r="D543" s="147"/>
      <c r="E543" s="147"/>
      <c r="F543" s="147"/>
      <c r="G543" s="147"/>
      <c r="H543" s="147"/>
      <c r="I543" s="147"/>
      <c r="J543" s="147"/>
    </row>
    <row r="544" spans="1:10">
      <c r="A544" s="147"/>
      <c r="B544" s="147"/>
      <c r="C544" s="166"/>
      <c r="D544" s="147"/>
      <c r="E544" s="147"/>
      <c r="F544" s="147"/>
      <c r="G544" s="147"/>
      <c r="H544" s="147"/>
      <c r="I544" s="147"/>
      <c r="J544" s="147"/>
    </row>
    <row r="545" spans="1:10">
      <c r="A545" s="147"/>
      <c r="B545" s="147"/>
      <c r="C545" s="166"/>
      <c r="D545" s="147"/>
      <c r="E545" s="147"/>
      <c r="F545" s="147"/>
      <c r="G545" s="147"/>
      <c r="H545" s="147"/>
      <c r="I545" s="147"/>
      <c r="J545" s="147"/>
    </row>
    <row r="546" spans="1:10">
      <c r="A546" s="147"/>
      <c r="B546" s="147"/>
      <c r="C546" s="166"/>
      <c r="D546" s="147"/>
      <c r="E546" s="147"/>
      <c r="F546" s="147"/>
      <c r="G546" s="147"/>
      <c r="H546" s="147"/>
      <c r="I546" s="147"/>
      <c r="J546" s="147"/>
    </row>
    <row r="547" spans="1:10">
      <c r="A547" s="147"/>
      <c r="B547" s="147"/>
      <c r="C547" s="166"/>
      <c r="D547" s="147"/>
      <c r="E547" s="147"/>
      <c r="F547" s="147"/>
      <c r="G547" s="147"/>
      <c r="H547" s="147"/>
      <c r="I547" s="147"/>
      <c r="J547" s="147"/>
    </row>
    <row r="548" spans="1:10">
      <c r="A548" s="147"/>
      <c r="B548" s="147"/>
      <c r="C548" s="166"/>
      <c r="D548" s="147"/>
      <c r="E548" s="147"/>
      <c r="F548" s="147"/>
      <c r="G548" s="147"/>
      <c r="H548" s="147"/>
      <c r="I548" s="147"/>
      <c r="J548" s="147"/>
    </row>
    <row r="549" spans="1:10">
      <c r="A549" s="147"/>
      <c r="B549" s="147"/>
      <c r="C549" s="166"/>
      <c r="D549" s="147"/>
      <c r="E549" s="147"/>
      <c r="F549" s="147"/>
      <c r="G549" s="147"/>
      <c r="H549" s="147"/>
      <c r="I549" s="147"/>
      <c r="J549" s="147"/>
    </row>
    <row r="550" spans="1:10">
      <c r="A550" s="147"/>
      <c r="B550" s="147"/>
      <c r="C550" s="166"/>
      <c r="D550" s="147"/>
      <c r="E550" s="147"/>
      <c r="F550" s="147"/>
      <c r="G550" s="147"/>
      <c r="H550" s="147"/>
      <c r="I550" s="147"/>
      <c r="J550" s="147"/>
    </row>
    <row r="551" spans="1:10">
      <c r="A551" s="147"/>
      <c r="B551" s="147"/>
      <c r="C551" s="166"/>
      <c r="D551" s="147"/>
      <c r="E551" s="147"/>
      <c r="F551" s="147"/>
      <c r="G551" s="147"/>
      <c r="H551" s="147"/>
      <c r="I551" s="147"/>
      <c r="J551" s="147"/>
    </row>
    <row r="552" spans="1:10">
      <c r="A552" s="147"/>
      <c r="B552" s="147"/>
      <c r="C552" s="166"/>
      <c r="D552" s="147"/>
      <c r="E552" s="147"/>
      <c r="F552" s="147"/>
      <c r="G552" s="147"/>
      <c r="H552" s="147"/>
      <c r="I552" s="147"/>
      <c r="J552" s="147"/>
    </row>
    <row r="553" spans="1:10">
      <c r="A553" s="147"/>
      <c r="B553" s="147"/>
      <c r="C553" s="166"/>
      <c r="D553" s="147"/>
      <c r="E553" s="147"/>
      <c r="F553" s="147"/>
      <c r="G553" s="147"/>
      <c r="H553" s="147"/>
      <c r="I553" s="147"/>
      <c r="J553" s="147"/>
    </row>
    <row r="554" spans="1:10">
      <c r="A554" s="147"/>
      <c r="B554" s="147"/>
      <c r="C554" s="166"/>
      <c r="D554" s="147"/>
      <c r="E554" s="147"/>
      <c r="F554" s="147"/>
      <c r="G554" s="147"/>
      <c r="H554" s="147"/>
      <c r="I554" s="147"/>
      <c r="J554" s="147"/>
    </row>
    <row r="555" spans="1:10">
      <c r="A555" s="147"/>
      <c r="B555" s="147"/>
      <c r="C555" s="166"/>
      <c r="D555" s="147"/>
      <c r="E555" s="147"/>
      <c r="F555" s="147"/>
      <c r="G555" s="147"/>
      <c r="H555" s="147"/>
      <c r="I555" s="147"/>
      <c r="J555" s="147"/>
    </row>
    <row r="556" spans="1:10">
      <c r="A556" s="147"/>
      <c r="B556" s="147"/>
      <c r="C556" s="166"/>
      <c r="D556" s="147"/>
      <c r="E556" s="147"/>
      <c r="F556" s="147"/>
      <c r="G556" s="147"/>
      <c r="H556" s="147"/>
      <c r="I556" s="147"/>
      <c r="J556" s="147"/>
    </row>
    <row r="557" spans="1:10">
      <c r="A557" s="147"/>
      <c r="B557" s="147"/>
      <c r="C557" s="166"/>
      <c r="D557" s="147"/>
      <c r="E557" s="147"/>
      <c r="F557" s="147"/>
      <c r="G557" s="147"/>
      <c r="H557" s="147"/>
      <c r="I557" s="147"/>
      <c r="J557" s="147"/>
    </row>
    <row r="558" spans="1:10">
      <c r="A558" s="147"/>
      <c r="B558" s="147"/>
      <c r="C558" s="166"/>
      <c r="D558" s="147"/>
      <c r="E558" s="147"/>
      <c r="F558" s="147"/>
      <c r="G558" s="147"/>
      <c r="H558" s="147"/>
      <c r="I558" s="147"/>
      <c r="J558" s="147"/>
    </row>
    <row r="559" spans="1:10">
      <c r="A559" s="147"/>
      <c r="B559" s="147"/>
      <c r="C559" s="166"/>
      <c r="D559" s="147"/>
      <c r="E559" s="147"/>
      <c r="F559" s="147"/>
      <c r="G559" s="147"/>
      <c r="H559" s="147"/>
      <c r="I559" s="147"/>
      <c r="J559" s="147"/>
    </row>
    <row r="560" spans="1:10">
      <c r="A560" s="147"/>
      <c r="B560" s="147"/>
      <c r="C560" s="166"/>
      <c r="D560" s="147"/>
      <c r="E560" s="147"/>
      <c r="F560" s="147"/>
      <c r="G560" s="147"/>
      <c r="H560" s="147"/>
      <c r="I560" s="147"/>
      <c r="J560" s="147"/>
    </row>
    <row r="561" spans="1:10">
      <c r="A561" s="147"/>
      <c r="B561" s="147"/>
      <c r="C561" s="166"/>
      <c r="D561" s="147"/>
      <c r="E561" s="147"/>
      <c r="F561" s="147"/>
      <c r="G561" s="147"/>
      <c r="H561" s="147"/>
      <c r="I561" s="147"/>
      <c r="J561" s="147"/>
    </row>
    <row r="562" spans="1:10">
      <c r="A562" s="147"/>
      <c r="B562" s="147"/>
      <c r="C562" s="166"/>
      <c r="D562" s="147"/>
      <c r="E562" s="147"/>
      <c r="F562" s="147"/>
      <c r="G562" s="147"/>
      <c r="H562" s="147"/>
      <c r="I562" s="147"/>
      <c r="J562" s="147"/>
    </row>
    <row r="563" spans="1:10">
      <c r="A563" s="147"/>
      <c r="B563" s="147"/>
      <c r="C563" s="166"/>
      <c r="D563" s="147"/>
      <c r="E563" s="147"/>
      <c r="F563" s="147"/>
      <c r="G563" s="147"/>
      <c r="H563" s="147"/>
      <c r="I563" s="147"/>
      <c r="J563" s="147"/>
    </row>
    <row r="564" spans="1:10">
      <c r="A564" s="147"/>
      <c r="B564" s="147"/>
      <c r="C564" s="166"/>
      <c r="D564" s="147"/>
      <c r="E564" s="147"/>
      <c r="F564" s="147"/>
      <c r="G564" s="147"/>
      <c r="H564" s="147"/>
      <c r="I564" s="147"/>
      <c r="J564" s="147"/>
    </row>
    <row r="565" spans="1:10">
      <c r="A565" s="147"/>
      <c r="B565" s="147"/>
      <c r="C565" s="166"/>
      <c r="D565" s="147"/>
      <c r="E565" s="147"/>
      <c r="F565" s="147"/>
      <c r="G565" s="147"/>
      <c r="H565" s="147"/>
      <c r="I565" s="147"/>
      <c r="J565" s="147"/>
    </row>
    <row r="566" spans="1:10">
      <c r="A566" s="147"/>
      <c r="B566" s="147"/>
      <c r="C566" s="166"/>
      <c r="D566" s="147"/>
      <c r="E566" s="147"/>
      <c r="F566" s="147"/>
      <c r="G566" s="147"/>
      <c r="H566" s="147"/>
      <c r="I566" s="147"/>
      <c r="J566" s="147"/>
    </row>
    <row r="567" spans="1:10">
      <c r="A567" s="147"/>
      <c r="B567" s="147"/>
      <c r="C567" s="166"/>
      <c r="D567" s="147"/>
      <c r="E567" s="147"/>
      <c r="F567" s="147"/>
      <c r="G567" s="147"/>
      <c r="H567" s="147"/>
      <c r="I567" s="147"/>
      <c r="J567" s="147"/>
    </row>
    <row r="568" spans="1:10">
      <c r="A568" s="147"/>
      <c r="B568" s="147"/>
      <c r="C568" s="166"/>
      <c r="D568" s="147"/>
      <c r="E568" s="147"/>
      <c r="F568" s="147"/>
      <c r="G568" s="147"/>
      <c r="H568" s="147"/>
      <c r="I568" s="147"/>
      <c r="J568" s="147"/>
    </row>
    <row r="569" spans="1:10">
      <c r="A569" s="147"/>
      <c r="B569" s="147"/>
      <c r="C569" s="166"/>
      <c r="D569" s="147"/>
      <c r="E569" s="147"/>
      <c r="F569" s="147"/>
      <c r="G569" s="147"/>
      <c r="H569" s="147"/>
      <c r="I569" s="147"/>
      <c r="J569" s="147"/>
    </row>
    <row r="570" spans="1:10">
      <c r="A570" s="147"/>
      <c r="B570" s="147"/>
      <c r="C570" s="166"/>
      <c r="D570" s="147"/>
      <c r="E570" s="147"/>
      <c r="F570" s="147"/>
      <c r="G570" s="147"/>
      <c r="H570" s="147"/>
      <c r="I570" s="147"/>
      <c r="J570" s="147"/>
    </row>
    <row r="571" spans="1:10">
      <c r="A571" s="147"/>
      <c r="B571" s="147"/>
      <c r="C571" s="166"/>
      <c r="D571" s="147"/>
      <c r="E571" s="147"/>
      <c r="F571" s="147"/>
      <c r="G571" s="147"/>
      <c r="H571" s="147"/>
      <c r="I571" s="147"/>
      <c r="J571" s="147"/>
    </row>
    <row r="572" spans="1:10">
      <c r="A572" s="147"/>
      <c r="B572" s="147"/>
      <c r="C572" s="166"/>
      <c r="D572" s="147"/>
      <c r="E572" s="147"/>
      <c r="F572" s="147"/>
      <c r="G572" s="147"/>
      <c r="H572" s="147"/>
      <c r="I572" s="147"/>
      <c r="J572" s="147"/>
    </row>
    <row r="573" spans="1:10">
      <c r="A573" s="147"/>
      <c r="B573" s="147"/>
      <c r="C573" s="166"/>
      <c r="D573" s="147"/>
      <c r="E573" s="147"/>
      <c r="F573" s="147"/>
      <c r="G573" s="147"/>
      <c r="H573" s="147"/>
      <c r="I573" s="147"/>
      <c r="J573" s="147"/>
    </row>
    <row r="574" spans="1:10">
      <c r="A574" s="147"/>
      <c r="B574" s="147"/>
      <c r="C574" s="166"/>
      <c r="D574" s="147"/>
      <c r="E574" s="147"/>
      <c r="F574" s="147"/>
      <c r="G574" s="147"/>
      <c r="H574" s="147"/>
      <c r="I574" s="147"/>
      <c r="J574" s="147"/>
    </row>
    <row r="575" spans="1:10">
      <c r="A575" s="147"/>
      <c r="B575" s="147"/>
      <c r="C575" s="166"/>
      <c r="D575" s="147"/>
      <c r="E575" s="147"/>
      <c r="F575" s="147"/>
      <c r="G575" s="147"/>
      <c r="H575" s="147"/>
      <c r="I575" s="147"/>
      <c r="J575" s="147"/>
    </row>
    <row r="576" spans="1:10">
      <c r="A576" s="147"/>
      <c r="B576" s="147"/>
      <c r="C576" s="166"/>
      <c r="D576" s="147"/>
      <c r="E576" s="147"/>
      <c r="F576" s="147"/>
      <c r="G576" s="147"/>
      <c r="H576" s="147"/>
      <c r="I576" s="147"/>
      <c r="J576" s="147"/>
    </row>
    <row r="577" spans="1:10">
      <c r="A577" s="147"/>
      <c r="B577" s="147"/>
      <c r="C577" s="166"/>
      <c r="D577" s="147"/>
      <c r="E577" s="147"/>
      <c r="F577" s="147"/>
      <c r="G577" s="147"/>
      <c r="H577" s="147"/>
      <c r="I577" s="147"/>
      <c r="J577" s="147"/>
    </row>
    <row r="578" spans="1:10">
      <c r="A578" s="147"/>
      <c r="B578" s="147"/>
      <c r="C578" s="166"/>
      <c r="D578" s="147"/>
      <c r="E578" s="147"/>
      <c r="F578" s="147"/>
      <c r="G578" s="147"/>
      <c r="H578" s="147"/>
      <c r="I578" s="147"/>
      <c r="J578" s="147"/>
    </row>
    <row r="579" spans="1:10">
      <c r="A579" s="147"/>
      <c r="B579" s="147"/>
      <c r="C579" s="166"/>
      <c r="D579" s="147"/>
      <c r="E579" s="147"/>
      <c r="F579" s="147"/>
      <c r="G579" s="147"/>
      <c r="H579" s="147"/>
      <c r="I579" s="147"/>
      <c r="J579" s="147"/>
    </row>
    <row r="580" spans="1:10">
      <c r="A580" s="147"/>
      <c r="B580" s="147"/>
      <c r="C580" s="166"/>
      <c r="D580" s="147"/>
      <c r="E580" s="147"/>
      <c r="F580" s="147"/>
      <c r="G580" s="147"/>
      <c r="H580" s="147"/>
      <c r="I580" s="147"/>
      <c r="J580" s="147"/>
    </row>
    <row r="581" spans="1:10">
      <c r="A581" s="147"/>
      <c r="B581" s="147"/>
      <c r="C581" s="166"/>
      <c r="D581" s="147"/>
      <c r="E581" s="147"/>
      <c r="F581" s="147"/>
      <c r="G581" s="147"/>
      <c r="H581" s="147"/>
      <c r="I581" s="147"/>
      <c r="J581" s="147"/>
    </row>
    <row r="582" spans="1:10">
      <c r="A582" s="147"/>
      <c r="B582" s="147"/>
      <c r="C582" s="166"/>
      <c r="D582" s="147"/>
      <c r="E582" s="147"/>
      <c r="F582" s="147"/>
      <c r="G582" s="147"/>
      <c r="H582" s="147"/>
      <c r="I582" s="147"/>
      <c r="J582" s="147"/>
    </row>
    <row r="583" spans="1:10">
      <c r="A583" s="147"/>
      <c r="B583" s="147"/>
      <c r="C583" s="166"/>
      <c r="D583" s="147"/>
      <c r="E583" s="147"/>
      <c r="F583" s="147"/>
      <c r="G583" s="147"/>
      <c r="H583" s="147"/>
      <c r="I583" s="147"/>
      <c r="J583" s="147"/>
    </row>
    <row r="584" spans="1:10">
      <c r="A584" s="147"/>
      <c r="B584" s="147"/>
      <c r="C584" s="166"/>
      <c r="D584" s="147"/>
      <c r="E584" s="147"/>
      <c r="F584" s="147"/>
      <c r="G584" s="147"/>
      <c r="H584" s="147"/>
      <c r="I584" s="147"/>
      <c r="J584" s="147"/>
    </row>
    <row r="585" spans="1:10">
      <c r="A585" s="147"/>
      <c r="B585" s="147"/>
      <c r="C585" s="166"/>
      <c r="D585" s="147"/>
      <c r="E585" s="147"/>
      <c r="F585" s="147"/>
      <c r="G585" s="147"/>
      <c r="H585" s="147"/>
      <c r="I585" s="147"/>
      <c r="J585" s="147"/>
    </row>
    <row r="586" spans="1:10">
      <c r="A586" s="147"/>
      <c r="B586" s="147"/>
      <c r="C586" s="166"/>
      <c r="D586" s="147"/>
      <c r="E586" s="147"/>
      <c r="F586" s="147"/>
      <c r="G586" s="147"/>
      <c r="H586" s="147"/>
      <c r="I586" s="147"/>
      <c r="J586" s="147"/>
    </row>
    <row r="587" spans="1:10">
      <c r="A587" s="147"/>
      <c r="B587" s="147"/>
      <c r="C587" s="166"/>
      <c r="D587" s="147"/>
      <c r="E587" s="147"/>
      <c r="F587" s="147"/>
      <c r="G587" s="147"/>
      <c r="H587" s="147"/>
      <c r="I587" s="147"/>
      <c r="J587" s="147"/>
    </row>
    <row r="588" spans="1:10">
      <c r="A588" s="147"/>
      <c r="B588" s="147"/>
      <c r="C588" s="166"/>
      <c r="D588" s="147"/>
      <c r="E588" s="147"/>
      <c r="F588" s="147"/>
      <c r="G588" s="147"/>
      <c r="H588" s="147"/>
      <c r="I588" s="147"/>
      <c r="J588" s="147"/>
    </row>
    <row r="589" spans="1:10">
      <c r="A589" s="147"/>
      <c r="B589" s="147"/>
      <c r="C589" s="166"/>
      <c r="D589" s="147"/>
      <c r="E589" s="147"/>
      <c r="F589" s="147"/>
      <c r="G589" s="147"/>
      <c r="H589" s="147"/>
      <c r="I589" s="147"/>
      <c r="J589" s="147"/>
    </row>
    <row r="590" spans="1:10">
      <c r="A590" s="147"/>
      <c r="B590" s="147"/>
      <c r="C590" s="166"/>
      <c r="D590" s="147"/>
      <c r="E590" s="147"/>
      <c r="F590" s="147"/>
      <c r="G590" s="147"/>
      <c r="H590" s="147"/>
      <c r="I590" s="147"/>
      <c r="J590" s="147"/>
    </row>
    <row r="591" spans="1:10">
      <c r="A591" s="147"/>
      <c r="B591" s="147"/>
      <c r="C591" s="166"/>
      <c r="D591" s="147"/>
      <c r="E591" s="147"/>
      <c r="F591" s="147"/>
      <c r="G591" s="147"/>
      <c r="H591" s="147"/>
      <c r="I591" s="147"/>
      <c r="J591" s="147"/>
    </row>
    <row r="592" spans="1:10">
      <c r="A592" s="147"/>
      <c r="B592" s="147"/>
      <c r="C592" s="166"/>
      <c r="D592" s="147"/>
      <c r="E592" s="147"/>
      <c r="F592" s="147"/>
      <c r="G592" s="147"/>
      <c r="H592" s="147"/>
      <c r="I592" s="147"/>
      <c r="J592" s="147"/>
    </row>
    <row r="593" spans="1:10">
      <c r="A593" s="147"/>
      <c r="B593" s="147"/>
      <c r="C593" s="166"/>
      <c r="D593" s="147"/>
      <c r="E593" s="147"/>
      <c r="F593" s="147"/>
      <c r="G593" s="147"/>
      <c r="H593" s="147"/>
      <c r="I593" s="147"/>
      <c r="J593" s="147"/>
    </row>
    <row r="594" spans="1:10">
      <c r="A594" s="147"/>
      <c r="B594" s="147"/>
      <c r="C594" s="166"/>
      <c r="D594" s="147"/>
      <c r="E594" s="147"/>
      <c r="F594" s="147"/>
      <c r="G594" s="147"/>
      <c r="H594" s="147"/>
      <c r="I594" s="147"/>
      <c r="J594" s="147"/>
    </row>
    <row r="595" spans="1:10">
      <c r="A595" s="147"/>
      <c r="B595" s="147"/>
      <c r="C595" s="166"/>
      <c r="D595" s="147"/>
      <c r="E595" s="147"/>
      <c r="F595" s="147"/>
      <c r="G595" s="147"/>
      <c r="H595" s="147"/>
      <c r="I595" s="147"/>
      <c r="J595" s="147"/>
    </row>
    <row r="596" spans="1:10">
      <c r="A596" s="147"/>
      <c r="B596" s="147"/>
      <c r="C596" s="166"/>
      <c r="D596" s="147"/>
      <c r="E596" s="147"/>
      <c r="F596" s="147"/>
      <c r="G596" s="147"/>
      <c r="H596" s="147"/>
      <c r="I596" s="147"/>
      <c r="J596" s="147"/>
    </row>
    <row r="597" spans="1:10">
      <c r="A597" s="147"/>
      <c r="B597" s="147"/>
      <c r="C597" s="166"/>
      <c r="D597" s="147"/>
      <c r="E597" s="147"/>
      <c r="F597" s="147"/>
      <c r="G597" s="147"/>
      <c r="H597" s="147"/>
      <c r="I597" s="147"/>
      <c r="J597" s="147"/>
    </row>
    <row r="598" spans="1:10">
      <c r="A598" s="147"/>
      <c r="B598" s="147"/>
      <c r="C598" s="166"/>
      <c r="D598" s="147"/>
      <c r="E598" s="147"/>
      <c r="F598" s="147"/>
      <c r="G598" s="147"/>
      <c r="H598" s="147"/>
      <c r="I598" s="147"/>
      <c r="J598" s="147"/>
    </row>
    <row r="599" spans="1:10">
      <c r="A599" s="147"/>
      <c r="B599" s="147"/>
      <c r="C599" s="166"/>
      <c r="D599" s="147"/>
      <c r="E599" s="147"/>
      <c r="F599" s="147"/>
      <c r="G599" s="147"/>
      <c r="H599" s="147"/>
      <c r="I599" s="147"/>
      <c r="J599" s="147"/>
    </row>
    <row r="600" spans="1:10">
      <c r="A600" s="147"/>
      <c r="B600" s="147"/>
      <c r="C600" s="166"/>
      <c r="D600" s="147"/>
      <c r="E600" s="147"/>
      <c r="F600" s="147"/>
      <c r="G600" s="147"/>
      <c r="H600" s="147"/>
      <c r="I600" s="147"/>
      <c r="J600" s="147"/>
    </row>
    <row r="601" spans="1:10">
      <c r="A601" s="147"/>
      <c r="B601" s="147"/>
      <c r="C601" s="166"/>
      <c r="D601" s="147"/>
      <c r="E601" s="147"/>
      <c r="F601" s="147"/>
      <c r="G601" s="147"/>
      <c r="H601" s="147"/>
      <c r="I601" s="147"/>
      <c r="J601" s="147"/>
    </row>
    <row r="602" spans="1:10">
      <c r="A602" s="147"/>
      <c r="B602" s="147"/>
      <c r="C602" s="166"/>
      <c r="D602" s="147"/>
      <c r="E602" s="147"/>
      <c r="F602" s="147"/>
      <c r="G602" s="147"/>
      <c r="H602" s="147"/>
      <c r="I602" s="147"/>
      <c r="J602" s="147"/>
    </row>
    <row r="603" spans="1:10">
      <c r="A603" s="147"/>
      <c r="B603" s="147"/>
      <c r="C603" s="166"/>
      <c r="D603" s="147"/>
      <c r="E603" s="147"/>
      <c r="F603" s="147"/>
      <c r="G603" s="147"/>
      <c r="H603" s="147"/>
      <c r="I603" s="147"/>
      <c r="J603" s="147"/>
    </row>
    <row r="604" spans="1:10">
      <c r="A604" s="147"/>
      <c r="B604" s="147"/>
      <c r="C604" s="166"/>
      <c r="D604" s="147"/>
      <c r="E604" s="147"/>
      <c r="F604" s="147"/>
      <c r="G604" s="147"/>
      <c r="H604" s="147"/>
      <c r="I604" s="147"/>
      <c r="J604" s="147"/>
    </row>
    <row r="605" spans="1:10">
      <c r="A605" s="147"/>
      <c r="B605" s="147"/>
      <c r="C605" s="166"/>
      <c r="D605" s="147"/>
      <c r="E605" s="147"/>
      <c r="F605" s="147"/>
      <c r="G605" s="147"/>
      <c r="H605" s="147"/>
      <c r="I605" s="147"/>
      <c r="J605" s="147"/>
    </row>
    <row r="606" spans="1:10">
      <c r="A606" s="147"/>
      <c r="B606" s="147"/>
      <c r="C606" s="166"/>
      <c r="D606" s="147"/>
      <c r="E606" s="147"/>
      <c r="F606" s="147"/>
      <c r="G606" s="147"/>
      <c r="H606" s="147"/>
      <c r="I606" s="147"/>
      <c r="J606" s="147"/>
    </row>
    <row r="607" spans="1:10">
      <c r="A607" s="147"/>
      <c r="B607" s="147"/>
      <c r="C607" s="166"/>
      <c r="D607" s="147"/>
      <c r="E607" s="147"/>
      <c r="F607" s="147"/>
      <c r="G607" s="147"/>
      <c r="H607" s="147"/>
      <c r="I607" s="147"/>
      <c r="J607" s="147"/>
    </row>
    <row r="608" spans="1:10">
      <c r="A608" s="147"/>
      <c r="B608" s="147"/>
      <c r="C608" s="166"/>
      <c r="D608" s="147"/>
      <c r="E608" s="147"/>
      <c r="F608" s="147"/>
      <c r="G608" s="147"/>
      <c r="H608" s="147"/>
      <c r="I608" s="147"/>
      <c r="J608" s="147"/>
    </row>
    <row r="609" spans="1:10">
      <c r="A609" s="147"/>
      <c r="B609" s="147"/>
      <c r="C609" s="166"/>
      <c r="D609" s="147"/>
      <c r="E609" s="147"/>
      <c r="F609" s="147"/>
      <c r="G609" s="147"/>
      <c r="H609" s="147"/>
      <c r="I609" s="147"/>
      <c r="J609" s="147"/>
    </row>
    <row r="610" spans="1:10">
      <c r="A610" s="147"/>
      <c r="B610" s="147"/>
      <c r="C610" s="166"/>
      <c r="D610" s="147"/>
      <c r="E610" s="147"/>
      <c r="F610" s="147"/>
      <c r="G610" s="147"/>
      <c r="H610" s="147"/>
      <c r="I610" s="147"/>
      <c r="J610" s="147"/>
    </row>
    <row r="611" spans="1:10">
      <c r="A611" s="147"/>
      <c r="B611" s="147"/>
      <c r="C611" s="166"/>
      <c r="D611" s="147"/>
      <c r="E611" s="147"/>
      <c r="F611" s="147"/>
      <c r="G611" s="147"/>
      <c r="H611" s="147"/>
      <c r="I611" s="147"/>
      <c r="J611" s="147"/>
    </row>
    <row r="612" spans="1:10">
      <c r="A612" s="147"/>
      <c r="B612" s="147"/>
      <c r="C612" s="166"/>
      <c r="D612" s="147"/>
      <c r="E612" s="147"/>
      <c r="F612" s="147"/>
      <c r="G612" s="147"/>
      <c r="H612" s="147"/>
      <c r="I612" s="147"/>
      <c r="J612" s="147"/>
    </row>
    <row r="613" spans="1:10">
      <c r="A613" s="147"/>
      <c r="B613" s="147"/>
      <c r="C613" s="166"/>
      <c r="D613" s="147"/>
      <c r="E613" s="147"/>
      <c r="F613" s="147"/>
      <c r="G613" s="147"/>
      <c r="H613" s="147"/>
      <c r="I613" s="147"/>
      <c r="J613" s="147"/>
    </row>
    <row r="614" spans="1:10">
      <c r="A614" s="147"/>
      <c r="B614" s="147"/>
      <c r="C614" s="166"/>
      <c r="D614" s="147"/>
      <c r="E614" s="147"/>
      <c r="F614" s="147"/>
      <c r="G614" s="147"/>
      <c r="H614" s="147"/>
      <c r="I614" s="147"/>
      <c r="J614" s="147"/>
    </row>
    <row r="615" spans="1:10">
      <c r="A615" s="147"/>
      <c r="B615" s="147"/>
      <c r="C615" s="166"/>
      <c r="D615" s="147"/>
      <c r="E615" s="147"/>
      <c r="F615" s="147"/>
      <c r="G615" s="147"/>
      <c r="H615" s="147"/>
      <c r="I615" s="147"/>
      <c r="J615" s="147"/>
    </row>
    <row r="616" spans="1:10">
      <c r="A616" s="147"/>
      <c r="B616" s="147"/>
      <c r="C616" s="166"/>
      <c r="D616" s="147"/>
      <c r="E616" s="147"/>
      <c r="F616" s="147"/>
      <c r="G616" s="147"/>
      <c r="H616" s="147"/>
      <c r="I616" s="147"/>
      <c r="J616" s="147"/>
    </row>
    <row r="617" spans="1:10">
      <c r="A617" s="147"/>
      <c r="B617" s="147"/>
      <c r="C617" s="166"/>
      <c r="D617" s="147"/>
      <c r="E617" s="147"/>
      <c r="F617" s="147"/>
      <c r="G617" s="147"/>
      <c r="H617" s="147"/>
      <c r="I617" s="147"/>
      <c r="J617" s="147"/>
    </row>
    <row r="618" spans="1:10">
      <c r="A618" s="147"/>
      <c r="B618" s="147"/>
      <c r="C618" s="166"/>
      <c r="D618" s="147"/>
      <c r="E618" s="147"/>
      <c r="F618" s="147"/>
      <c r="G618" s="147"/>
      <c r="H618" s="147"/>
      <c r="I618" s="147"/>
      <c r="J618" s="147"/>
    </row>
    <row r="619" spans="1:10">
      <c r="A619" s="147"/>
      <c r="B619" s="147"/>
      <c r="C619" s="166"/>
      <c r="D619" s="147"/>
      <c r="E619" s="147"/>
      <c r="F619" s="147"/>
      <c r="G619" s="147"/>
      <c r="H619" s="147"/>
      <c r="I619" s="147"/>
      <c r="J619" s="147"/>
    </row>
    <row r="620" spans="1:10">
      <c r="A620" s="147"/>
      <c r="B620" s="147"/>
      <c r="C620" s="166"/>
      <c r="D620" s="147"/>
      <c r="E620" s="147"/>
      <c r="F620" s="147"/>
      <c r="G620" s="147"/>
      <c r="H620" s="147"/>
      <c r="I620" s="147"/>
      <c r="J620" s="147"/>
    </row>
    <row r="621" spans="1:10">
      <c r="A621" s="147"/>
      <c r="B621" s="147"/>
      <c r="C621" s="166"/>
      <c r="D621" s="147"/>
      <c r="E621" s="147"/>
      <c r="F621" s="147"/>
      <c r="G621" s="147"/>
      <c r="H621" s="147"/>
      <c r="I621" s="147"/>
      <c r="J621" s="147"/>
    </row>
    <row r="622" spans="1:10">
      <c r="A622" s="147"/>
      <c r="B622" s="147"/>
      <c r="C622" s="166"/>
      <c r="D622" s="147"/>
      <c r="E622" s="147"/>
      <c r="F622" s="147"/>
      <c r="G622" s="147"/>
      <c r="H622" s="147"/>
      <c r="I622" s="147"/>
      <c r="J622" s="147"/>
    </row>
    <row r="623" spans="1:10">
      <c r="A623" s="147"/>
      <c r="B623" s="147"/>
      <c r="C623" s="166"/>
      <c r="D623" s="147"/>
      <c r="E623" s="147"/>
      <c r="F623" s="147"/>
      <c r="G623" s="147"/>
      <c r="H623" s="147"/>
      <c r="I623" s="147"/>
      <c r="J623" s="147"/>
    </row>
    <row r="624" spans="1:10">
      <c r="A624" s="147"/>
      <c r="B624" s="147"/>
      <c r="C624" s="166"/>
      <c r="D624" s="147"/>
      <c r="E624" s="147"/>
      <c r="F624" s="147"/>
      <c r="G624" s="147"/>
      <c r="H624" s="147"/>
      <c r="I624" s="147"/>
      <c r="J624" s="147"/>
    </row>
    <row r="625" spans="1:10">
      <c r="A625" s="147"/>
      <c r="B625" s="147"/>
      <c r="C625" s="166"/>
      <c r="D625" s="147"/>
      <c r="E625" s="147"/>
      <c r="F625" s="147"/>
      <c r="G625" s="147"/>
      <c r="H625" s="147"/>
      <c r="I625" s="147"/>
      <c r="J625" s="147"/>
    </row>
    <row r="626" spans="1:10">
      <c r="A626" s="147"/>
      <c r="B626" s="147"/>
      <c r="C626" s="166"/>
      <c r="D626" s="147"/>
      <c r="E626" s="147"/>
      <c r="F626" s="147"/>
      <c r="G626" s="147"/>
      <c r="H626" s="147"/>
      <c r="I626" s="147"/>
      <c r="J626" s="147"/>
    </row>
    <row r="627" spans="1:10">
      <c r="A627" s="147"/>
      <c r="B627" s="147"/>
      <c r="C627" s="166"/>
      <c r="D627" s="147"/>
      <c r="E627" s="147"/>
      <c r="F627" s="147"/>
      <c r="G627" s="147"/>
      <c r="H627" s="147"/>
      <c r="I627" s="147"/>
      <c r="J627" s="147"/>
    </row>
    <row r="628" spans="1:10">
      <c r="A628" s="147"/>
      <c r="B628" s="147"/>
      <c r="C628" s="166"/>
      <c r="D628" s="147"/>
      <c r="E628" s="147"/>
      <c r="F628" s="147"/>
      <c r="G628" s="147"/>
      <c r="H628" s="147"/>
      <c r="I628" s="147"/>
      <c r="J628" s="147"/>
    </row>
    <row r="629" spans="1:10">
      <c r="A629" s="147"/>
      <c r="B629" s="147"/>
      <c r="C629" s="166"/>
      <c r="D629" s="147"/>
      <c r="E629" s="147"/>
      <c r="F629" s="147"/>
      <c r="G629" s="147"/>
      <c r="H629" s="147"/>
      <c r="I629" s="147"/>
      <c r="J629" s="147"/>
    </row>
    <row r="630" spans="1:10">
      <c r="A630" s="147"/>
      <c r="B630" s="147"/>
      <c r="C630" s="166"/>
      <c r="D630" s="147"/>
      <c r="E630" s="147"/>
      <c r="F630" s="147"/>
      <c r="G630" s="147"/>
      <c r="H630" s="147"/>
      <c r="I630" s="147"/>
      <c r="J630" s="147"/>
    </row>
    <row r="631" spans="1:10">
      <c r="A631" s="147"/>
      <c r="B631" s="147"/>
      <c r="C631" s="166"/>
      <c r="D631" s="147"/>
      <c r="E631" s="147"/>
      <c r="F631" s="147"/>
      <c r="G631" s="147"/>
      <c r="H631" s="147"/>
      <c r="I631" s="147"/>
      <c r="J631" s="147"/>
    </row>
    <row r="632" spans="1:10">
      <c r="A632" s="147"/>
      <c r="B632" s="147"/>
      <c r="C632" s="166"/>
      <c r="D632" s="147"/>
      <c r="E632" s="147"/>
      <c r="F632" s="147"/>
      <c r="G632" s="147"/>
      <c r="H632" s="147"/>
      <c r="I632" s="147"/>
      <c r="J632" s="147"/>
    </row>
    <row r="633" spans="1:10">
      <c r="A633" s="147"/>
      <c r="B633" s="147"/>
      <c r="C633" s="166"/>
      <c r="D633" s="147"/>
      <c r="E633" s="147"/>
      <c r="F633" s="147"/>
      <c r="G633" s="147"/>
      <c r="H633" s="147"/>
      <c r="I633" s="147"/>
      <c r="J633" s="147"/>
    </row>
    <row r="634" spans="1:10">
      <c r="A634" s="147"/>
      <c r="B634" s="147"/>
      <c r="C634" s="166"/>
      <c r="D634" s="147"/>
      <c r="E634" s="147"/>
      <c r="F634" s="147"/>
      <c r="G634" s="147"/>
      <c r="H634" s="147"/>
      <c r="I634" s="147"/>
      <c r="J634" s="147"/>
    </row>
    <row r="635" spans="1:10">
      <c r="A635" s="147"/>
      <c r="B635" s="147"/>
      <c r="C635" s="166"/>
      <c r="D635" s="147"/>
      <c r="E635" s="147"/>
      <c r="F635" s="147"/>
      <c r="G635" s="147"/>
      <c r="H635" s="147"/>
      <c r="I635" s="147"/>
      <c r="J635" s="147"/>
    </row>
  </sheetData>
  <mergeCells count="15">
    <mergeCell ref="A65:J65"/>
    <mergeCell ref="A66:J66"/>
    <mergeCell ref="A67:J67"/>
    <mergeCell ref="B29:J29"/>
    <mergeCell ref="B37:J37"/>
    <mergeCell ref="B39:J39"/>
    <mergeCell ref="B47:J47"/>
    <mergeCell ref="B55:J55"/>
    <mergeCell ref="A64:J64"/>
    <mergeCell ref="B21:J21"/>
    <mergeCell ref="A8:A9"/>
    <mergeCell ref="B8:E8"/>
    <mergeCell ref="G8:J8"/>
    <mergeCell ref="B11:J11"/>
    <mergeCell ref="B13:J13"/>
  </mergeCells>
  <pageMargins left="0.59055118110236227" right="0.59055118110236227" top="0.78740157480314965" bottom="0.78740157480314965" header="0" footer="0"/>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60"/>
  <sheetViews>
    <sheetView zoomScaleNormal="100" workbookViewId="0">
      <selection activeCell="A4" sqref="A4"/>
    </sheetView>
  </sheetViews>
  <sheetFormatPr defaultColWidth="9.26953125" defaultRowHeight="9"/>
  <cols>
    <col min="1" max="1" width="11.26953125" style="13" customWidth="1"/>
    <col min="2" max="2" width="5.7265625" style="13" customWidth="1"/>
    <col min="3" max="3" width="6.26953125" style="13" customWidth="1"/>
    <col min="4" max="4" width="0.7265625" style="13" customWidth="1"/>
    <col min="5" max="5" width="5.7265625" style="13" customWidth="1"/>
    <col min="6" max="6" width="6" style="13" customWidth="1"/>
    <col min="7" max="7" width="0.7265625" style="13" customWidth="1"/>
    <col min="8" max="9" width="5.7265625" style="13" customWidth="1"/>
    <col min="10" max="10" width="0.7265625" style="13" customWidth="1"/>
    <col min="11" max="11" width="5.7265625" style="13" customWidth="1"/>
    <col min="12" max="12" width="5.453125" style="13" customWidth="1"/>
    <col min="13" max="13" width="0.7265625" style="13" customWidth="1"/>
    <col min="14" max="15" width="5.7265625" style="13" customWidth="1"/>
    <col min="16" max="16" width="0.7265625" style="13" customWidth="1"/>
    <col min="17" max="17" width="5.7265625" style="13" customWidth="1"/>
    <col min="18" max="18" width="5.453125" style="13" customWidth="1"/>
    <col min="19" max="20" width="0" style="13" hidden="1" customWidth="1"/>
    <col min="21" max="22" width="4.81640625" style="13" hidden="1" customWidth="1"/>
    <col min="23" max="23" width="2.1796875" style="13" hidden="1" customWidth="1"/>
    <col min="24" max="24" width="4.81640625" style="13" hidden="1" customWidth="1"/>
    <col min="25" max="25" width="4" style="13" hidden="1" customWidth="1"/>
    <col min="26" max="26" width="2.81640625" style="13" hidden="1" customWidth="1"/>
    <col min="27" max="28" width="4.81640625" style="13" hidden="1" customWidth="1"/>
    <col min="29" max="29" width="1.54296875" style="13" hidden="1" customWidth="1"/>
    <col min="30" max="30" width="4.81640625" style="13" hidden="1" customWidth="1"/>
    <col min="31" max="31" width="4" style="13" hidden="1" customWidth="1"/>
    <col min="32" max="32" width="2" style="13" hidden="1" customWidth="1"/>
    <col min="33" max="33" width="4.81640625" style="13" hidden="1" customWidth="1"/>
    <col min="34" max="34" width="5.453125" style="13" hidden="1" customWidth="1"/>
    <col min="35" max="35" width="2.54296875" style="13" hidden="1" customWidth="1"/>
    <col min="36" max="36" width="4.81640625" style="13" hidden="1" customWidth="1"/>
    <col min="37" max="37" width="4" style="13" hidden="1" customWidth="1"/>
    <col min="38" max="16384" width="9.26953125" style="13"/>
  </cols>
  <sheetData>
    <row r="1" spans="1:37" s="41" customFormat="1" ht="12.75" customHeight="1"/>
    <row r="2" spans="1:37" s="41" customFormat="1" ht="12.75" customHeight="1"/>
    <row r="3" spans="1:37" s="41" customFormat="1" ht="12.75" customHeight="1">
      <c r="A3" s="42"/>
    </row>
    <row r="4" spans="1:37" s="44" customFormat="1" ht="12" customHeight="1">
      <c r="A4" s="58" t="s">
        <v>41</v>
      </c>
      <c r="B4" s="43"/>
      <c r="C4" s="43"/>
      <c r="D4" s="43"/>
      <c r="E4" s="43"/>
      <c r="F4" s="43"/>
      <c r="G4" s="43"/>
      <c r="H4" s="43"/>
      <c r="I4" s="43"/>
      <c r="J4" s="43"/>
      <c r="K4" s="43"/>
      <c r="L4" s="43"/>
      <c r="M4" s="43"/>
      <c r="P4" s="43"/>
      <c r="T4" s="58" t="s">
        <v>41</v>
      </c>
      <c r="U4" s="43"/>
      <c r="V4" s="43"/>
      <c r="W4" s="43"/>
      <c r="X4" s="43"/>
      <c r="Y4" s="43"/>
      <c r="Z4" s="43"/>
      <c r="AA4" s="43"/>
      <c r="AB4" s="43"/>
      <c r="AC4" s="43"/>
      <c r="AD4" s="43"/>
      <c r="AE4" s="43"/>
      <c r="AF4" s="43"/>
      <c r="AI4" s="43"/>
    </row>
    <row r="5" spans="1:37" s="44" customFormat="1" ht="24" customHeight="1">
      <c r="A5" s="707" t="s">
        <v>501</v>
      </c>
      <c r="B5" s="751"/>
      <c r="C5" s="751"/>
      <c r="D5" s="751"/>
      <c r="E5" s="751"/>
      <c r="F5" s="751"/>
      <c r="G5" s="751"/>
      <c r="H5" s="751"/>
      <c r="I5" s="751"/>
      <c r="J5" s="751"/>
      <c r="K5" s="751"/>
      <c r="L5" s="751"/>
      <c r="M5" s="751"/>
      <c r="N5" s="751"/>
      <c r="O5" s="751"/>
      <c r="P5" s="751"/>
      <c r="Q5" s="751"/>
      <c r="R5" s="751"/>
      <c r="T5" s="707" t="s">
        <v>501</v>
      </c>
      <c r="U5" s="751"/>
      <c r="V5" s="751"/>
      <c r="W5" s="751"/>
      <c r="X5" s="751"/>
      <c r="Y5" s="751"/>
      <c r="Z5" s="751"/>
      <c r="AA5" s="751"/>
      <c r="AB5" s="751"/>
      <c r="AC5" s="751"/>
      <c r="AD5" s="751"/>
      <c r="AE5" s="751"/>
      <c r="AF5" s="751"/>
      <c r="AG5" s="751"/>
      <c r="AH5" s="751"/>
      <c r="AI5" s="751"/>
      <c r="AJ5" s="751"/>
      <c r="AK5" s="751"/>
    </row>
    <row r="6" spans="1:37" s="44" customFormat="1" ht="12" customHeight="1">
      <c r="A6" s="47" t="s">
        <v>11</v>
      </c>
      <c r="T6" s="47" t="s">
        <v>32</v>
      </c>
    </row>
    <row r="7" spans="1:37" s="41" customFormat="1" ht="6" customHeight="1">
      <c r="A7" s="45"/>
      <c r="B7" s="46"/>
      <c r="C7" s="46"/>
      <c r="D7" s="46"/>
      <c r="E7" s="46"/>
      <c r="F7" s="46"/>
      <c r="G7" s="46"/>
      <c r="H7" s="46"/>
      <c r="I7" s="46"/>
      <c r="J7" s="46"/>
      <c r="K7" s="46"/>
      <c r="L7" s="46"/>
      <c r="M7" s="46"/>
      <c r="N7" s="46"/>
      <c r="O7" s="46"/>
      <c r="P7" s="46"/>
      <c r="Q7" s="46"/>
      <c r="R7" s="46"/>
      <c r="T7" s="45"/>
      <c r="U7" s="46"/>
      <c r="V7" s="46"/>
      <c r="W7" s="46"/>
      <c r="X7" s="46"/>
      <c r="Y7" s="46"/>
      <c r="Z7" s="46"/>
      <c r="AA7" s="46"/>
      <c r="AB7" s="46"/>
      <c r="AC7" s="46"/>
      <c r="AD7" s="46"/>
      <c r="AE7" s="46"/>
      <c r="AF7" s="46"/>
      <c r="AG7" s="46"/>
      <c r="AH7" s="46"/>
      <c r="AI7" s="46"/>
      <c r="AJ7" s="46"/>
      <c r="AK7" s="46"/>
    </row>
    <row r="8" spans="1:37" ht="12" customHeight="1">
      <c r="A8" s="741" t="s">
        <v>502</v>
      </c>
      <c r="B8" s="736" t="s">
        <v>454</v>
      </c>
      <c r="C8" s="736"/>
      <c r="D8" s="736"/>
      <c r="E8" s="736"/>
      <c r="F8" s="736"/>
      <c r="G8" s="590"/>
      <c r="H8" s="736" t="s">
        <v>434</v>
      </c>
      <c r="I8" s="736"/>
      <c r="J8" s="736"/>
      <c r="K8" s="736"/>
      <c r="L8" s="736"/>
      <c r="M8" s="590"/>
      <c r="N8" s="736" t="s">
        <v>58</v>
      </c>
      <c r="O8" s="736"/>
      <c r="P8" s="736"/>
      <c r="Q8" s="736"/>
      <c r="R8" s="736"/>
      <c r="T8" s="741" t="s">
        <v>502</v>
      </c>
      <c r="U8" s="736" t="s">
        <v>454</v>
      </c>
      <c r="V8" s="736"/>
      <c r="W8" s="736"/>
      <c r="X8" s="736"/>
      <c r="Y8" s="736"/>
      <c r="Z8" s="590"/>
      <c r="AA8" s="736" t="s">
        <v>434</v>
      </c>
      <c r="AB8" s="736"/>
      <c r="AC8" s="736"/>
      <c r="AD8" s="736"/>
      <c r="AE8" s="736"/>
      <c r="AF8" s="590"/>
      <c r="AG8" s="736" t="s">
        <v>58</v>
      </c>
      <c r="AH8" s="736"/>
      <c r="AI8" s="736"/>
      <c r="AJ8" s="736"/>
      <c r="AK8" s="736"/>
    </row>
    <row r="9" spans="1:37" ht="12" customHeight="1">
      <c r="A9" s="742"/>
      <c r="B9" s="737" t="s">
        <v>124</v>
      </c>
      <c r="C9" s="737" t="s">
        <v>363</v>
      </c>
      <c r="D9" s="14"/>
      <c r="E9" s="750" t="s">
        <v>455</v>
      </c>
      <c r="F9" s="750"/>
      <c r="G9" s="14"/>
      <c r="H9" s="737" t="s">
        <v>124</v>
      </c>
      <c r="I9" s="737" t="s">
        <v>363</v>
      </c>
      <c r="J9" s="14"/>
      <c r="K9" s="750" t="s">
        <v>455</v>
      </c>
      <c r="L9" s="750"/>
      <c r="M9" s="14"/>
      <c r="N9" s="737" t="s">
        <v>124</v>
      </c>
      <c r="O9" s="737" t="s">
        <v>363</v>
      </c>
      <c r="P9" s="14"/>
      <c r="Q9" s="750" t="s">
        <v>455</v>
      </c>
      <c r="R9" s="750"/>
      <c r="T9" s="742"/>
      <c r="U9" s="737" t="s">
        <v>124</v>
      </c>
      <c r="V9" s="737" t="s">
        <v>363</v>
      </c>
      <c r="W9" s="14"/>
      <c r="X9" s="750" t="s">
        <v>455</v>
      </c>
      <c r="Y9" s="750"/>
      <c r="Z9" s="14"/>
      <c r="AA9" s="737" t="s">
        <v>124</v>
      </c>
      <c r="AB9" s="737" t="s">
        <v>363</v>
      </c>
      <c r="AC9" s="14"/>
      <c r="AD9" s="750" t="s">
        <v>455</v>
      </c>
      <c r="AE9" s="750"/>
      <c r="AF9" s="14"/>
      <c r="AG9" s="737" t="s">
        <v>124</v>
      </c>
      <c r="AH9" s="737" t="s">
        <v>363</v>
      </c>
      <c r="AI9" s="14"/>
      <c r="AJ9" s="750" t="s">
        <v>455</v>
      </c>
      <c r="AK9" s="750"/>
    </row>
    <row r="10" spans="1:37" ht="12" customHeight="1">
      <c r="A10" s="743"/>
      <c r="B10" s="738"/>
      <c r="C10" s="738"/>
      <c r="D10" s="15"/>
      <c r="E10" s="271" t="s">
        <v>58</v>
      </c>
      <c r="F10" s="271" t="s">
        <v>363</v>
      </c>
      <c r="G10" s="15"/>
      <c r="H10" s="738"/>
      <c r="I10" s="738"/>
      <c r="J10" s="15"/>
      <c r="K10" s="271" t="s">
        <v>58</v>
      </c>
      <c r="L10" s="271" t="s">
        <v>363</v>
      </c>
      <c r="M10" s="15"/>
      <c r="N10" s="738"/>
      <c r="O10" s="738"/>
      <c r="P10" s="15"/>
      <c r="Q10" s="271" t="s">
        <v>58</v>
      </c>
      <c r="R10" s="271" t="s">
        <v>363</v>
      </c>
      <c r="T10" s="743"/>
      <c r="U10" s="738"/>
      <c r="V10" s="738"/>
      <c r="W10" s="15"/>
      <c r="X10" s="271" t="s">
        <v>58</v>
      </c>
      <c r="Y10" s="271" t="s">
        <v>363</v>
      </c>
      <c r="Z10" s="15"/>
      <c r="AA10" s="738"/>
      <c r="AB10" s="738"/>
      <c r="AC10" s="15"/>
      <c r="AD10" s="271" t="s">
        <v>58</v>
      </c>
      <c r="AE10" s="271" t="s">
        <v>363</v>
      </c>
      <c r="AF10" s="15"/>
      <c r="AG10" s="738"/>
      <c r="AH10" s="738"/>
      <c r="AI10" s="15"/>
      <c r="AJ10" s="271" t="s">
        <v>58</v>
      </c>
      <c r="AK10" s="271" t="s">
        <v>363</v>
      </c>
    </row>
    <row r="11" spans="1:37" ht="3" customHeight="1">
      <c r="A11" s="16"/>
      <c r="B11" s="17"/>
      <c r="C11" s="17"/>
      <c r="D11" s="17"/>
      <c r="E11" s="17"/>
      <c r="F11" s="17"/>
      <c r="G11" s="17"/>
      <c r="H11" s="17"/>
      <c r="I11" s="17"/>
      <c r="J11" s="17"/>
      <c r="K11" s="17"/>
      <c r="L11" s="17"/>
      <c r="M11" s="17"/>
      <c r="N11" s="17"/>
      <c r="P11" s="17"/>
      <c r="T11" s="16"/>
      <c r="U11" s="17"/>
      <c r="V11" s="17"/>
      <c r="W11" s="17"/>
      <c r="X11" s="17"/>
      <c r="Y11" s="17"/>
      <c r="Z11" s="17"/>
      <c r="AA11" s="17"/>
      <c r="AB11" s="17"/>
      <c r="AC11" s="17"/>
      <c r="AD11" s="17"/>
      <c r="AE11" s="17"/>
      <c r="AF11" s="17"/>
      <c r="AG11" s="17"/>
      <c r="AI11" s="17"/>
    </row>
    <row r="12" spans="1:37" ht="10.15" customHeight="1">
      <c r="A12" s="23"/>
      <c r="B12" s="752" t="s">
        <v>503</v>
      </c>
      <c r="C12" s="752"/>
      <c r="D12" s="752"/>
      <c r="E12" s="752"/>
      <c r="F12" s="752"/>
      <c r="G12" s="752"/>
      <c r="H12" s="752"/>
      <c r="I12" s="752"/>
      <c r="J12" s="752"/>
      <c r="K12" s="752"/>
      <c r="L12" s="752"/>
      <c r="M12" s="752"/>
      <c r="N12" s="752"/>
      <c r="O12" s="752"/>
      <c r="P12" s="752"/>
      <c r="Q12" s="752"/>
      <c r="R12" s="752"/>
      <c r="T12" s="23"/>
      <c r="U12" s="752" t="s">
        <v>503</v>
      </c>
      <c r="V12" s="752"/>
      <c r="W12" s="752"/>
      <c r="X12" s="752"/>
      <c r="Y12" s="752"/>
      <c r="Z12" s="752"/>
      <c r="AA12" s="752"/>
      <c r="AB12" s="752"/>
      <c r="AC12" s="752"/>
      <c r="AD12" s="752"/>
      <c r="AE12" s="752"/>
      <c r="AF12" s="752"/>
      <c r="AG12" s="752"/>
      <c r="AH12" s="752"/>
      <c r="AI12" s="752"/>
      <c r="AJ12" s="752"/>
      <c r="AK12" s="752"/>
    </row>
    <row r="13" spans="1:37" ht="3" customHeight="1">
      <c r="A13" s="16"/>
      <c r="B13" s="17"/>
      <c r="C13" s="17"/>
      <c r="D13" s="17"/>
      <c r="E13" s="17"/>
      <c r="F13" s="17"/>
      <c r="G13" s="17"/>
      <c r="H13" s="17"/>
      <c r="I13" s="17"/>
      <c r="J13" s="17"/>
      <c r="K13" s="17"/>
      <c r="L13" s="17"/>
      <c r="M13" s="17"/>
      <c r="N13" s="17"/>
      <c r="P13" s="17"/>
      <c r="T13" s="16"/>
      <c r="U13" s="17"/>
      <c r="V13" s="17"/>
      <c r="W13" s="17"/>
      <c r="X13" s="17"/>
      <c r="Y13" s="17"/>
      <c r="Z13" s="17"/>
      <c r="AA13" s="17"/>
      <c r="AB13" s="17"/>
      <c r="AC13" s="17"/>
      <c r="AD13" s="17"/>
      <c r="AE13" s="17"/>
      <c r="AF13" s="17"/>
      <c r="AG13" s="17"/>
      <c r="AI13" s="17"/>
    </row>
    <row r="14" spans="1:37" ht="10.15" customHeight="1">
      <c r="A14" s="33" t="s">
        <v>442</v>
      </c>
      <c r="B14" s="3">
        <v>2</v>
      </c>
      <c r="C14" s="1">
        <v>50</v>
      </c>
      <c r="D14" s="23"/>
      <c r="E14" s="3">
        <v>0</v>
      </c>
      <c r="F14" s="1">
        <v>0</v>
      </c>
      <c r="G14" s="3"/>
      <c r="H14" s="3">
        <v>2</v>
      </c>
      <c r="I14" s="1">
        <v>50</v>
      </c>
      <c r="J14" s="23"/>
      <c r="K14" s="3">
        <v>0</v>
      </c>
      <c r="L14" s="1">
        <v>0</v>
      </c>
      <c r="M14" s="23"/>
      <c r="N14" s="23">
        <v>4</v>
      </c>
      <c r="O14" s="1">
        <v>100</v>
      </c>
      <c r="P14" s="23"/>
      <c r="Q14" s="3">
        <v>0</v>
      </c>
      <c r="R14" s="1">
        <v>0</v>
      </c>
      <c r="T14" s="33" t="s">
        <v>444</v>
      </c>
      <c r="U14" s="3">
        <v>1</v>
      </c>
      <c r="V14" s="1">
        <v>100</v>
      </c>
      <c r="W14" s="23"/>
      <c r="X14" s="3">
        <v>0</v>
      </c>
      <c r="Y14" s="1">
        <v>0</v>
      </c>
      <c r="Z14" s="3"/>
      <c r="AA14" s="3">
        <v>0</v>
      </c>
      <c r="AB14" s="1">
        <v>0</v>
      </c>
      <c r="AC14" s="23"/>
      <c r="AD14" s="3">
        <v>0</v>
      </c>
      <c r="AE14" s="1">
        <v>0</v>
      </c>
      <c r="AF14" s="23"/>
      <c r="AG14" s="23">
        <v>1</v>
      </c>
      <c r="AH14" s="1">
        <v>100</v>
      </c>
      <c r="AI14" s="23"/>
      <c r="AJ14" s="3">
        <v>0</v>
      </c>
      <c r="AK14" s="1">
        <v>0</v>
      </c>
    </row>
    <row r="15" spans="1:37" ht="10.15" customHeight="1">
      <c r="A15" s="33" t="s">
        <v>443</v>
      </c>
      <c r="B15" s="3">
        <v>0</v>
      </c>
      <c r="C15" s="1">
        <v>0</v>
      </c>
      <c r="D15" s="23"/>
      <c r="E15" s="3">
        <v>0</v>
      </c>
      <c r="F15" s="1">
        <v>0</v>
      </c>
      <c r="G15" s="3"/>
      <c r="H15" s="3">
        <v>2</v>
      </c>
      <c r="I15" s="1">
        <v>100</v>
      </c>
      <c r="J15" s="23"/>
      <c r="K15" s="3">
        <v>0</v>
      </c>
      <c r="L15" s="1">
        <v>0</v>
      </c>
      <c r="M15" s="23"/>
      <c r="N15" s="23">
        <v>2</v>
      </c>
      <c r="O15" s="1">
        <v>100</v>
      </c>
      <c r="P15" s="23"/>
      <c r="Q15" s="3">
        <v>0</v>
      </c>
      <c r="R15" s="1">
        <v>0</v>
      </c>
      <c r="T15" s="33" t="s">
        <v>442</v>
      </c>
      <c r="U15" s="3">
        <v>2</v>
      </c>
      <c r="V15" s="1">
        <v>50</v>
      </c>
      <c r="W15" s="23"/>
      <c r="X15" s="3">
        <v>0</v>
      </c>
      <c r="Y15" s="1">
        <v>0</v>
      </c>
      <c r="Z15" s="3"/>
      <c r="AA15" s="3">
        <v>2</v>
      </c>
      <c r="AB15" s="1">
        <v>50</v>
      </c>
      <c r="AC15" s="23"/>
      <c r="AD15" s="3">
        <v>0</v>
      </c>
      <c r="AE15" s="1">
        <v>0</v>
      </c>
      <c r="AF15" s="23"/>
      <c r="AG15" s="23">
        <v>4</v>
      </c>
      <c r="AH15" s="1">
        <v>100</v>
      </c>
      <c r="AI15" s="23"/>
      <c r="AJ15" s="3">
        <v>0</v>
      </c>
      <c r="AK15" s="1">
        <v>0</v>
      </c>
    </row>
    <row r="16" spans="1:37" ht="10.15" customHeight="1">
      <c r="A16" s="33" t="s">
        <v>445</v>
      </c>
      <c r="B16" s="3">
        <v>1</v>
      </c>
      <c r="C16" s="1">
        <v>50</v>
      </c>
      <c r="D16" s="23"/>
      <c r="E16" s="3">
        <v>0</v>
      </c>
      <c r="F16" s="1">
        <v>0</v>
      </c>
      <c r="G16" s="3"/>
      <c r="H16" s="3">
        <v>1</v>
      </c>
      <c r="I16" s="1">
        <v>50</v>
      </c>
      <c r="J16" s="23"/>
      <c r="K16" s="3">
        <v>0</v>
      </c>
      <c r="L16" s="1">
        <v>0</v>
      </c>
      <c r="M16" s="23"/>
      <c r="N16" s="23">
        <v>2</v>
      </c>
      <c r="O16" s="1">
        <v>100</v>
      </c>
      <c r="P16" s="23"/>
      <c r="Q16" s="3">
        <v>0</v>
      </c>
      <c r="R16" s="1">
        <v>0</v>
      </c>
      <c r="T16" s="33" t="s">
        <v>443</v>
      </c>
      <c r="U16" s="3">
        <v>0</v>
      </c>
      <c r="V16" s="1">
        <v>0</v>
      </c>
      <c r="W16" s="23"/>
      <c r="X16" s="3">
        <v>0</v>
      </c>
      <c r="Y16" s="1">
        <v>0</v>
      </c>
      <c r="Z16" s="3"/>
      <c r="AA16" s="3">
        <v>2</v>
      </c>
      <c r="AB16" s="1">
        <v>100</v>
      </c>
      <c r="AC16" s="23"/>
      <c r="AD16" s="3">
        <v>0</v>
      </c>
      <c r="AE16" s="1">
        <v>0</v>
      </c>
      <c r="AF16" s="23"/>
      <c r="AG16" s="23">
        <v>2</v>
      </c>
      <c r="AH16" s="1">
        <v>100</v>
      </c>
      <c r="AI16" s="23"/>
      <c r="AJ16" s="3">
        <v>0</v>
      </c>
      <c r="AK16" s="1">
        <v>0</v>
      </c>
    </row>
    <row r="17" spans="1:37" ht="10.15" customHeight="1">
      <c r="A17" s="29" t="s">
        <v>446</v>
      </c>
      <c r="B17" s="275">
        <v>1</v>
      </c>
      <c r="C17" s="1">
        <f>B17*100/$N$17</f>
        <v>14.285714285714286</v>
      </c>
      <c r="E17" s="3">
        <v>0</v>
      </c>
      <c r="F17" s="1">
        <v>0</v>
      </c>
      <c r="H17" s="275">
        <v>6</v>
      </c>
      <c r="I17" s="1">
        <f>H17*100/$N$17</f>
        <v>85.714285714285708</v>
      </c>
      <c r="K17" s="3">
        <v>0</v>
      </c>
      <c r="L17" s="1">
        <v>0</v>
      </c>
      <c r="N17" s="275">
        <v>7</v>
      </c>
      <c r="O17" s="1">
        <v>100</v>
      </c>
      <c r="Q17" s="3">
        <v>0</v>
      </c>
      <c r="R17" s="1">
        <v>0</v>
      </c>
      <c r="T17" s="33" t="s">
        <v>445</v>
      </c>
      <c r="U17" s="3">
        <v>1</v>
      </c>
      <c r="V17" s="1">
        <v>50</v>
      </c>
      <c r="W17" s="23"/>
      <c r="X17" s="3">
        <v>0</v>
      </c>
      <c r="Y17" s="1">
        <v>0</v>
      </c>
      <c r="Z17" s="3"/>
      <c r="AA17" s="3">
        <v>1</v>
      </c>
      <c r="AB17" s="1">
        <v>50</v>
      </c>
      <c r="AC17" s="23"/>
      <c r="AD17" s="3">
        <v>0</v>
      </c>
      <c r="AE17" s="1">
        <v>0</v>
      </c>
      <c r="AF17" s="23"/>
      <c r="AG17" s="23">
        <v>2</v>
      </c>
      <c r="AH17" s="1">
        <v>100</v>
      </c>
      <c r="AI17" s="23"/>
      <c r="AJ17" s="3">
        <v>0</v>
      </c>
      <c r="AK17" s="1">
        <v>0</v>
      </c>
    </row>
    <row r="18" spans="1:37" ht="10.15" customHeight="1">
      <c r="A18" s="29" t="s">
        <v>504</v>
      </c>
      <c r="B18" s="275">
        <v>4</v>
      </c>
      <c r="C18" s="1">
        <v>57.142857142857139</v>
      </c>
      <c r="E18" s="3">
        <v>0</v>
      </c>
      <c r="F18" s="1">
        <v>0</v>
      </c>
      <c r="H18" s="275">
        <v>3</v>
      </c>
      <c r="I18" s="1">
        <v>42.857142857142854</v>
      </c>
      <c r="K18" s="3">
        <v>0</v>
      </c>
      <c r="L18" s="1">
        <v>0</v>
      </c>
      <c r="N18" s="275">
        <v>7</v>
      </c>
      <c r="O18" s="1">
        <v>100</v>
      </c>
      <c r="Q18" s="3">
        <v>0</v>
      </c>
      <c r="R18" s="1">
        <v>0</v>
      </c>
      <c r="T18" s="29" t="s">
        <v>446</v>
      </c>
      <c r="U18" s="275">
        <v>1</v>
      </c>
      <c r="V18" s="1">
        <f>U18*100/$N$18</f>
        <v>14.285714285714286</v>
      </c>
      <c r="X18" s="3">
        <v>0</v>
      </c>
      <c r="Y18" s="1">
        <v>0</v>
      </c>
      <c r="AA18" s="275">
        <v>6</v>
      </c>
      <c r="AB18" s="1">
        <f>AA18*100/$N$18</f>
        <v>85.714285714285708</v>
      </c>
      <c r="AD18" s="3">
        <v>0</v>
      </c>
      <c r="AE18" s="1">
        <v>0</v>
      </c>
      <c r="AG18" s="275">
        <v>7</v>
      </c>
      <c r="AH18" s="1">
        <v>100</v>
      </c>
      <c r="AJ18" s="3">
        <v>0</v>
      </c>
      <c r="AK18" s="1">
        <v>0</v>
      </c>
    </row>
    <row r="19" spans="1:37" ht="3" customHeight="1">
      <c r="A19" s="16"/>
      <c r="B19" s="17"/>
      <c r="C19" s="17"/>
      <c r="D19" s="17"/>
      <c r="E19" s="17"/>
      <c r="F19" s="17"/>
      <c r="G19" s="17"/>
      <c r="H19" s="17"/>
      <c r="I19" s="17"/>
      <c r="J19" s="17"/>
      <c r="K19" s="17"/>
      <c r="L19" s="17"/>
      <c r="M19" s="17"/>
      <c r="N19" s="17"/>
      <c r="P19" s="17"/>
      <c r="T19" s="16"/>
      <c r="U19" s="17"/>
      <c r="V19" s="17"/>
      <c r="W19" s="17"/>
      <c r="X19" s="17"/>
      <c r="Y19" s="17"/>
      <c r="Z19" s="17"/>
      <c r="AA19" s="17"/>
      <c r="AB19" s="17"/>
      <c r="AC19" s="17"/>
      <c r="AD19" s="17"/>
      <c r="AE19" s="17"/>
      <c r="AF19" s="17"/>
      <c r="AG19" s="17"/>
      <c r="AI19" s="17"/>
    </row>
    <row r="20" spans="1:37" ht="10.15" customHeight="1">
      <c r="A20" s="23"/>
      <c r="B20" s="744" t="s">
        <v>505</v>
      </c>
      <c r="C20" s="744"/>
      <c r="D20" s="744"/>
      <c r="E20" s="744"/>
      <c r="F20" s="744"/>
      <c r="G20" s="744"/>
      <c r="H20" s="744"/>
      <c r="I20" s="744"/>
      <c r="J20" s="744"/>
      <c r="K20" s="744"/>
      <c r="L20" s="744"/>
      <c r="M20" s="744"/>
      <c r="N20" s="744"/>
      <c r="O20" s="744"/>
      <c r="P20" s="744"/>
      <c r="Q20" s="744"/>
      <c r="R20" s="744"/>
      <c r="T20" s="23"/>
      <c r="U20" s="744" t="s">
        <v>506</v>
      </c>
      <c r="V20" s="744"/>
      <c r="W20" s="744"/>
      <c r="X20" s="744"/>
      <c r="Y20" s="744"/>
      <c r="Z20" s="744"/>
      <c r="AA20" s="744"/>
      <c r="AB20" s="744"/>
      <c r="AC20" s="744"/>
      <c r="AD20" s="744"/>
      <c r="AE20" s="744"/>
      <c r="AF20" s="744"/>
      <c r="AG20" s="744"/>
      <c r="AH20" s="744"/>
      <c r="AI20" s="744"/>
      <c r="AJ20" s="744"/>
      <c r="AK20" s="744"/>
    </row>
    <row r="21" spans="1:37" ht="3" customHeight="1">
      <c r="A21" s="273"/>
      <c r="B21" s="273"/>
      <c r="C21" s="273"/>
      <c r="D21" s="273"/>
      <c r="E21" s="273"/>
      <c r="F21" s="273"/>
      <c r="G21" s="273"/>
      <c r="H21" s="273"/>
      <c r="I21" s="273"/>
      <c r="J21" s="273"/>
      <c r="K21" s="273"/>
      <c r="L21" s="273"/>
      <c r="M21" s="273"/>
      <c r="N21" s="273"/>
      <c r="P21" s="273"/>
      <c r="T21" s="273"/>
      <c r="U21" s="273"/>
      <c r="V21" s="273"/>
      <c r="W21" s="273"/>
      <c r="X21" s="273"/>
      <c r="Y21" s="273"/>
      <c r="Z21" s="273"/>
      <c r="AA21" s="273"/>
      <c r="AB21" s="273"/>
      <c r="AC21" s="273"/>
      <c r="AD21" s="273"/>
      <c r="AE21" s="273"/>
      <c r="AF21" s="273"/>
      <c r="AG21" s="273"/>
      <c r="AI21" s="273"/>
    </row>
    <row r="22" spans="1:37" ht="10.15" customHeight="1">
      <c r="A22" s="13" t="s">
        <v>491</v>
      </c>
      <c r="B22" s="3">
        <v>2</v>
      </c>
      <c r="C22" s="1">
        <v>66.599999999999994</v>
      </c>
      <c r="D22" s="23"/>
      <c r="E22" s="3">
        <v>0</v>
      </c>
      <c r="F22" s="3">
        <v>0</v>
      </c>
      <c r="G22" s="3"/>
      <c r="H22" s="3">
        <v>1</v>
      </c>
      <c r="I22" s="1">
        <v>33.299999999999997</v>
      </c>
      <c r="J22" s="23"/>
      <c r="K22" s="3">
        <v>0</v>
      </c>
      <c r="L22" s="1">
        <v>0</v>
      </c>
      <c r="M22" s="23"/>
      <c r="N22" s="3">
        <v>3</v>
      </c>
      <c r="O22" s="1">
        <v>100</v>
      </c>
      <c r="P22" s="23"/>
      <c r="Q22" s="3">
        <v>0</v>
      </c>
      <c r="R22" s="1">
        <v>0</v>
      </c>
      <c r="T22" s="13" t="s">
        <v>491</v>
      </c>
      <c r="U22" s="3">
        <v>0</v>
      </c>
      <c r="V22" s="3">
        <v>0</v>
      </c>
      <c r="W22" s="23"/>
      <c r="X22" s="3">
        <v>0</v>
      </c>
      <c r="Y22" s="3">
        <v>0</v>
      </c>
      <c r="Z22" s="3"/>
      <c r="AA22" s="3">
        <v>2</v>
      </c>
      <c r="AB22" s="1">
        <v>100</v>
      </c>
      <c r="AC22" s="23"/>
      <c r="AD22" s="3">
        <v>0</v>
      </c>
      <c r="AE22" s="3">
        <v>0</v>
      </c>
      <c r="AF22" s="23"/>
      <c r="AG22" s="3">
        <v>2</v>
      </c>
      <c r="AH22" s="1">
        <v>100</v>
      </c>
      <c r="AI22" s="23"/>
      <c r="AJ22" s="3">
        <v>0</v>
      </c>
      <c r="AK22" s="3">
        <v>0</v>
      </c>
    </row>
    <row r="23" spans="1:37" ht="10.15" customHeight="1">
      <c r="A23" s="13" t="s">
        <v>492</v>
      </c>
      <c r="B23" s="3">
        <v>2</v>
      </c>
      <c r="C23" s="1">
        <v>50</v>
      </c>
      <c r="D23" s="23"/>
      <c r="E23" s="3">
        <v>0</v>
      </c>
      <c r="F23" s="3">
        <v>0</v>
      </c>
      <c r="G23" s="3"/>
      <c r="H23" s="3">
        <v>2</v>
      </c>
      <c r="I23" s="1">
        <v>50</v>
      </c>
      <c r="J23" s="23"/>
      <c r="K23" s="3">
        <v>0</v>
      </c>
      <c r="L23" s="1">
        <v>0</v>
      </c>
      <c r="M23" s="23"/>
      <c r="N23" s="3">
        <v>4</v>
      </c>
      <c r="O23" s="1">
        <v>100</v>
      </c>
      <c r="P23" s="23"/>
      <c r="Q23" s="3">
        <v>0</v>
      </c>
      <c r="R23" s="1">
        <v>0</v>
      </c>
      <c r="T23" s="13" t="s">
        <v>492</v>
      </c>
      <c r="U23" s="3">
        <v>1</v>
      </c>
      <c r="V23" s="1">
        <f>U23/AG23*100</f>
        <v>20</v>
      </c>
      <c r="W23" s="23"/>
      <c r="X23" s="3">
        <v>0</v>
      </c>
      <c r="Y23" s="3">
        <v>0</v>
      </c>
      <c r="Z23" s="3"/>
      <c r="AA23" s="3">
        <v>4</v>
      </c>
      <c r="AB23" s="1">
        <f>AA23/AG23*100</f>
        <v>80</v>
      </c>
      <c r="AC23" s="23"/>
      <c r="AD23" s="3">
        <v>0</v>
      </c>
      <c r="AE23" s="3">
        <v>0</v>
      </c>
      <c r="AF23" s="23"/>
      <c r="AG23" s="3">
        <v>5</v>
      </c>
      <c r="AH23" s="1">
        <v>100</v>
      </c>
      <c r="AI23" s="23"/>
      <c r="AJ23" s="3">
        <v>0</v>
      </c>
      <c r="AK23" s="3">
        <v>0</v>
      </c>
    </row>
    <row r="24" spans="1:37" ht="10.15" customHeight="1">
      <c r="A24" s="29" t="s">
        <v>493</v>
      </c>
      <c r="B24" s="3" t="s">
        <v>228</v>
      </c>
      <c r="C24" s="3">
        <v>0</v>
      </c>
      <c r="E24" s="3">
        <v>0</v>
      </c>
      <c r="F24" s="3">
        <v>0</v>
      </c>
      <c r="H24" s="3">
        <v>0</v>
      </c>
      <c r="I24" s="3">
        <v>0</v>
      </c>
      <c r="K24" s="3">
        <v>0</v>
      </c>
      <c r="L24" s="3">
        <v>0</v>
      </c>
      <c r="N24" s="3">
        <v>0</v>
      </c>
      <c r="O24" s="3">
        <v>0</v>
      </c>
      <c r="Q24" s="3">
        <v>0</v>
      </c>
      <c r="R24" s="3">
        <v>0</v>
      </c>
      <c r="T24" s="29" t="s">
        <v>493</v>
      </c>
      <c r="U24" s="3">
        <v>0</v>
      </c>
      <c r="V24" s="3">
        <v>0</v>
      </c>
      <c r="X24" s="3">
        <v>0</v>
      </c>
      <c r="Y24" s="3">
        <v>0</v>
      </c>
      <c r="AA24" s="3">
        <v>0</v>
      </c>
      <c r="AB24" s="3">
        <v>0</v>
      </c>
      <c r="AD24" s="3">
        <v>0</v>
      </c>
      <c r="AE24" s="3">
        <v>0</v>
      </c>
      <c r="AG24" s="3">
        <v>0</v>
      </c>
      <c r="AH24" s="3">
        <v>0</v>
      </c>
      <c r="AJ24" s="3">
        <v>0</v>
      </c>
      <c r="AK24" s="3">
        <v>0</v>
      </c>
    </row>
    <row r="25" spans="1:37" ht="10.15" customHeight="1">
      <c r="A25" s="16" t="s">
        <v>58</v>
      </c>
      <c r="B25" s="5">
        <v>4</v>
      </c>
      <c r="C25" s="6">
        <f>B25/N25*100</f>
        <v>57.142857142857139</v>
      </c>
      <c r="D25" s="3"/>
      <c r="E25" s="3">
        <v>0</v>
      </c>
      <c r="F25" s="3">
        <v>0</v>
      </c>
      <c r="G25" s="3"/>
      <c r="H25" s="5">
        <v>3</v>
      </c>
      <c r="I25" s="6">
        <f>H25/N25*100</f>
        <v>42.857142857142854</v>
      </c>
      <c r="J25" s="3"/>
      <c r="K25" s="3">
        <v>0</v>
      </c>
      <c r="L25" s="3">
        <v>0</v>
      </c>
      <c r="M25" s="3"/>
      <c r="N25" s="5">
        <v>7</v>
      </c>
      <c r="O25" s="1">
        <v>100</v>
      </c>
      <c r="P25" s="3"/>
      <c r="Q25" s="3">
        <v>0</v>
      </c>
      <c r="R25" s="3">
        <v>0</v>
      </c>
      <c r="T25" s="16" t="s">
        <v>58</v>
      </c>
      <c r="U25" s="5">
        <v>1</v>
      </c>
      <c r="V25" s="6">
        <f>U25/AG25*100</f>
        <v>14.285714285714285</v>
      </c>
      <c r="W25" s="3"/>
      <c r="X25" s="3">
        <v>0</v>
      </c>
      <c r="Y25" s="3">
        <v>0</v>
      </c>
      <c r="Z25" s="3"/>
      <c r="AA25" s="5">
        <v>6</v>
      </c>
      <c r="AB25" s="6">
        <f>AA25/AG25*100</f>
        <v>85.714285714285708</v>
      </c>
      <c r="AC25" s="3"/>
      <c r="AD25" s="3">
        <v>0</v>
      </c>
      <c r="AE25" s="3">
        <v>0</v>
      </c>
      <c r="AF25" s="3"/>
      <c r="AG25" s="5">
        <v>7</v>
      </c>
      <c r="AH25" s="1">
        <v>100</v>
      </c>
      <c r="AI25" s="3"/>
      <c r="AJ25" s="3">
        <v>0</v>
      </c>
      <c r="AK25" s="3">
        <v>0</v>
      </c>
    </row>
    <row r="26" spans="1:37" ht="3" customHeight="1">
      <c r="A26" s="16"/>
      <c r="B26" s="17"/>
      <c r="C26" s="17"/>
      <c r="D26" s="17"/>
      <c r="E26" s="17"/>
      <c r="F26" s="17"/>
      <c r="G26" s="17"/>
      <c r="H26" s="17"/>
      <c r="I26" s="17"/>
      <c r="J26" s="17"/>
      <c r="K26" s="17"/>
      <c r="L26" s="17"/>
      <c r="M26" s="17"/>
      <c r="N26" s="17"/>
      <c r="P26" s="17"/>
      <c r="T26" s="16"/>
      <c r="U26" s="17"/>
      <c r="V26" s="17"/>
      <c r="W26" s="17"/>
      <c r="X26" s="17"/>
      <c r="Y26" s="17"/>
      <c r="Z26" s="17"/>
      <c r="AA26" s="17"/>
      <c r="AB26" s="17"/>
      <c r="AC26" s="17"/>
      <c r="AD26" s="17"/>
      <c r="AE26" s="17"/>
      <c r="AF26" s="17"/>
      <c r="AG26" s="17"/>
      <c r="AI26" s="17"/>
    </row>
    <row r="27" spans="1:37" ht="10.15" customHeight="1">
      <c r="A27" s="23"/>
      <c r="B27" s="744" t="s">
        <v>507</v>
      </c>
      <c r="C27" s="744"/>
      <c r="D27" s="744"/>
      <c r="E27" s="744"/>
      <c r="F27" s="744"/>
      <c r="G27" s="744"/>
      <c r="H27" s="744"/>
      <c r="I27" s="744"/>
      <c r="J27" s="744"/>
      <c r="K27" s="744"/>
      <c r="L27" s="744"/>
      <c r="M27" s="744"/>
      <c r="N27" s="744"/>
      <c r="O27" s="744"/>
      <c r="P27" s="744"/>
      <c r="Q27" s="744"/>
      <c r="R27" s="744"/>
      <c r="T27" s="23"/>
      <c r="U27" s="744" t="s">
        <v>507</v>
      </c>
      <c r="V27" s="744"/>
      <c r="W27" s="744"/>
      <c r="X27" s="744"/>
      <c r="Y27" s="744"/>
      <c r="Z27" s="744"/>
      <c r="AA27" s="744"/>
      <c r="AB27" s="744"/>
      <c r="AC27" s="744"/>
      <c r="AD27" s="744"/>
      <c r="AE27" s="744"/>
      <c r="AF27" s="744"/>
      <c r="AG27" s="744"/>
      <c r="AH27" s="744"/>
      <c r="AI27" s="744"/>
      <c r="AJ27" s="744"/>
      <c r="AK27" s="744"/>
    </row>
    <row r="28" spans="1:37" ht="3" customHeight="1">
      <c r="A28" s="273"/>
      <c r="B28" s="273"/>
      <c r="C28" s="273"/>
      <c r="D28" s="273"/>
      <c r="E28" s="273"/>
      <c r="F28" s="273"/>
      <c r="G28" s="273"/>
      <c r="H28" s="273"/>
      <c r="I28" s="273"/>
      <c r="J28" s="273"/>
      <c r="K28" s="273"/>
      <c r="L28" s="273"/>
      <c r="M28" s="273"/>
      <c r="N28" s="273"/>
      <c r="P28" s="273"/>
      <c r="T28" s="273"/>
      <c r="U28" s="273"/>
      <c r="V28" s="273"/>
      <c r="W28" s="273"/>
      <c r="X28" s="273"/>
      <c r="Y28" s="273"/>
      <c r="Z28" s="273"/>
      <c r="AA28" s="273"/>
      <c r="AB28" s="273"/>
      <c r="AC28" s="273"/>
      <c r="AD28" s="273"/>
      <c r="AE28" s="273"/>
      <c r="AF28" s="273"/>
      <c r="AG28" s="273"/>
      <c r="AI28" s="273"/>
    </row>
    <row r="29" spans="1:37" ht="10.15" customHeight="1">
      <c r="A29" s="33" t="s">
        <v>442</v>
      </c>
      <c r="B29" s="3">
        <v>688</v>
      </c>
      <c r="C29" s="1">
        <v>71.741397288842549</v>
      </c>
      <c r="D29" s="5"/>
      <c r="E29" s="3">
        <v>36</v>
      </c>
      <c r="F29" s="1">
        <v>5.2325581395348841</v>
      </c>
      <c r="G29" s="5"/>
      <c r="H29" s="3">
        <v>271</v>
      </c>
      <c r="I29" s="1">
        <v>28.258602711157454</v>
      </c>
      <c r="J29" s="5"/>
      <c r="K29" s="3">
        <v>16</v>
      </c>
      <c r="L29" s="1">
        <v>5.9040590405904059</v>
      </c>
      <c r="M29" s="5"/>
      <c r="N29" s="3">
        <v>959</v>
      </c>
      <c r="O29" s="1">
        <v>100</v>
      </c>
      <c r="P29" s="5"/>
      <c r="Q29" s="3">
        <v>52</v>
      </c>
      <c r="R29" s="1">
        <v>5.4223149113660067</v>
      </c>
      <c r="T29" s="25" t="s">
        <v>444</v>
      </c>
      <c r="U29" s="3">
        <v>788</v>
      </c>
      <c r="V29" s="1">
        <v>72.095150960658742</v>
      </c>
      <c r="W29" s="5"/>
      <c r="X29" s="3">
        <v>46</v>
      </c>
      <c r="Y29" s="1">
        <v>5.8375634517766501</v>
      </c>
      <c r="Z29" s="5"/>
      <c r="AA29" s="3">
        <v>305</v>
      </c>
      <c r="AB29" s="1">
        <v>27.904849039341261</v>
      </c>
      <c r="AC29" s="5"/>
      <c r="AD29" s="3">
        <v>30</v>
      </c>
      <c r="AE29" s="1">
        <v>9.8360655737704921</v>
      </c>
      <c r="AF29" s="5"/>
      <c r="AG29" s="3">
        <v>1093</v>
      </c>
      <c r="AH29" s="1">
        <v>100</v>
      </c>
      <c r="AI29" s="5"/>
      <c r="AJ29" s="3">
        <v>76</v>
      </c>
      <c r="AK29" s="1">
        <v>6.9533394327538884</v>
      </c>
    </row>
    <row r="30" spans="1:37" ht="10.15" customHeight="1">
      <c r="A30" s="33" t="s">
        <v>443</v>
      </c>
      <c r="B30" s="3">
        <v>645</v>
      </c>
      <c r="C30" s="1">
        <v>72.067039106145245</v>
      </c>
      <c r="D30" s="5"/>
      <c r="E30" s="3">
        <v>41</v>
      </c>
      <c r="F30" s="1">
        <v>6.3565891472868215</v>
      </c>
      <c r="G30" s="5"/>
      <c r="H30" s="3">
        <v>250</v>
      </c>
      <c r="I30" s="1">
        <v>27.932960893854748</v>
      </c>
      <c r="J30" s="5"/>
      <c r="K30" s="3">
        <v>9</v>
      </c>
      <c r="L30" s="1">
        <v>3.5999999999999996</v>
      </c>
      <c r="M30" s="5"/>
      <c r="N30" s="3">
        <v>895</v>
      </c>
      <c r="O30" s="1">
        <v>100</v>
      </c>
      <c r="P30" s="5"/>
      <c r="Q30" s="3">
        <v>50</v>
      </c>
      <c r="R30" s="1">
        <v>5.5865921787709496</v>
      </c>
      <c r="T30" s="33" t="s">
        <v>442</v>
      </c>
      <c r="U30" s="3">
        <v>688</v>
      </c>
      <c r="V30" s="1">
        <v>71.741397288842549</v>
      </c>
      <c r="W30" s="5"/>
      <c r="X30" s="3">
        <v>36</v>
      </c>
      <c r="Y30" s="1">
        <v>5.2325581395348841</v>
      </c>
      <c r="Z30" s="5"/>
      <c r="AA30" s="3">
        <v>271</v>
      </c>
      <c r="AB30" s="1">
        <v>28.258602711157454</v>
      </c>
      <c r="AC30" s="5"/>
      <c r="AD30" s="3">
        <v>16</v>
      </c>
      <c r="AE30" s="1">
        <v>5.9040590405904059</v>
      </c>
      <c r="AF30" s="5"/>
      <c r="AG30" s="3">
        <v>959</v>
      </c>
      <c r="AH30" s="1">
        <v>100</v>
      </c>
      <c r="AI30" s="5"/>
      <c r="AJ30" s="3">
        <v>52</v>
      </c>
      <c r="AK30" s="1">
        <v>5.4223149113660067</v>
      </c>
    </row>
    <row r="31" spans="1:37" ht="10.15" customHeight="1">
      <c r="A31" s="33" t="s">
        <v>445</v>
      </c>
      <c r="B31" s="3">
        <v>616</v>
      </c>
      <c r="C31" s="1">
        <v>70.319634703196343</v>
      </c>
      <c r="D31" s="3"/>
      <c r="E31" s="3">
        <v>36</v>
      </c>
      <c r="F31" s="1">
        <v>5.8441558441558437</v>
      </c>
      <c r="G31" s="3"/>
      <c r="H31" s="3">
        <v>260</v>
      </c>
      <c r="I31" s="1">
        <v>29.68036529680365</v>
      </c>
      <c r="J31" s="3"/>
      <c r="K31" s="3">
        <v>13</v>
      </c>
      <c r="L31" s="1">
        <v>5</v>
      </c>
      <c r="M31" s="3"/>
      <c r="N31" s="3">
        <v>876</v>
      </c>
      <c r="O31" s="1">
        <v>100</v>
      </c>
      <c r="P31" s="3"/>
      <c r="Q31" s="3">
        <v>49</v>
      </c>
      <c r="R31" s="1">
        <v>5.5936073059360725</v>
      </c>
      <c r="T31" s="33" t="s">
        <v>443</v>
      </c>
      <c r="U31" s="3">
        <v>645</v>
      </c>
      <c r="V31" s="1">
        <v>72.067039106145245</v>
      </c>
      <c r="W31" s="5"/>
      <c r="X31" s="3">
        <v>41</v>
      </c>
      <c r="Y31" s="1">
        <v>6.3565891472868215</v>
      </c>
      <c r="Z31" s="5"/>
      <c r="AA31" s="3">
        <v>250</v>
      </c>
      <c r="AB31" s="1">
        <v>27.932960893854748</v>
      </c>
      <c r="AC31" s="5"/>
      <c r="AD31" s="3">
        <v>9</v>
      </c>
      <c r="AE31" s="1">
        <v>3.5999999999999996</v>
      </c>
      <c r="AF31" s="5"/>
      <c r="AG31" s="3">
        <v>895</v>
      </c>
      <c r="AH31" s="1">
        <v>100</v>
      </c>
      <c r="AI31" s="5"/>
      <c r="AJ31" s="3">
        <v>50</v>
      </c>
      <c r="AK31" s="1">
        <v>5.5865921787709496</v>
      </c>
    </row>
    <row r="32" spans="1:37" ht="10.15" customHeight="1">
      <c r="A32" s="29" t="s">
        <v>446</v>
      </c>
      <c r="B32" s="17">
        <v>597</v>
      </c>
      <c r="C32" s="1">
        <v>66.3</v>
      </c>
      <c r="E32" s="17">
        <v>32</v>
      </c>
      <c r="F32" s="276">
        <v>5.3601340033500797</v>
      </c>
      <c r="H32" s="17">
        <v>303</v>
      </c>
      <c r="I32" s="1">
        <v>33.700000000000003</v>
      </c>
      <c r="K32" s="17">
        <v>17</v>
      </c>
      <c r="L32" s="277">
        <v>5.6</v>
      </c>
      <c r="N32" s="17">
        <v>900</v>
      </c>
      <c r="O32" s="1">
        <v>100</v>
      </c>
      <c r="Q32" s="17">
        <v>49</v>
      </c>
      <c r="R32" s="277">
        <v>5.4</v>
      </c>
      <c r="T32" s="33" t="s">
        <v>445</v>
      </c>
      <c r="U32" s="3">
        <v>616</v>
      </c>
      <c r="V32" s="1">
        <v>70.319634703196343</v>
      </c>
      <c r="W32" s="3"/>
      <c r="X32" s="3">
        <v>36</v>
      </c>
      <c r="Y32" s="1">
        <v>5.8441558441558437</v>
      </c>
      <c r="Z32" s="3"/>
      <c r="AA32" s="3">
        <v>260</v>
      </c>
      <c r="AB32" s="1">
        <v>29.68036529680365</v>
      </c>
      <c r="AC32" s="3"/>
      <c r="AD32" s="3">
        <v>13</v>
      </c>
      <c r="AE32" s="1">
        <v>5</v>
      </c>
      <c r="AF32" s="3"/>
      <c r="AG32" s="3">
        <v>876</v>
      </c>
      <c r="AH32" s="1">
        <v>100</v>
      </c>
      <c r="AI32" s="3"/>
      <c r="AJ32" s="3">
        <v>49</v>
      </c>
      <c r="AK32" s="1">
        <v>5.5936073059360725</v>
      </c>
    </row>
    <row r="33" spans="1:38" ht="10.15" customHeight="1">
      <c r="A33" s="13" t="s">
        <v>504</v>
      </c>
      <c r="B33" s="3">
        <v>706</v>
      </c>
      <c r="C33" s="1">
        <v>66.043030869971943</v>
      </c>
      <c r="D33" s="3"/>
      <c r="E33" s="3">
        <v>41</v>
      </c>
      <c r="F33" s="1">
        <v>5.8073654390934841</v>
      </c>
      <c r="G33" s="3"/>
      <c r="H33" s="3">
        <v>363</v>
      </c>
      <c r="I33" s="1">
        <v>33.956969130028064</v>
      </c>
      <c r="J33" s="3"/>
      <c r="K33" s="3">
        <v>17</v>
      </c>
      <c r="L33" s="1">
        <v>4.6831955922865012</v>
      </c>
      <c r="M33" s="3"/>
      <c r="N33" s="3">
        <v>1069</v>
      </c>
      <c r="O33" s="1">
        <v>100</v>
      </c>
      <c r="P33" s="3"/>
      <c r="Q33" s="3">
        <v>58</v>
      </c>
      <c r="R33" s="1">
        <v>5.4256314312441534</v>
      </c>
      <c r="S33" s="276"/>
      <c r="T33" s="29" t="s">
        <v>446</v>
      </c>
      <c r="U33" s="17">
        <v>597</v>
      </c>
      <c r="V33" s="1">
        <v>66.3</v>
      </c>
      <c r="X33" s="17">
        <v>32</v>
      </c>
      <c r="Y33" s="276">
        <v>5.3601340033500797</v>
      </c>
      <c r="AA33" s="17">
        <v>303</v>
      </c>
      <c r="AB33" s="1">
        <v>33.700000000000003</v>
      </c>
      <c r="AD33" s="17">
        <v>17</v>
      </c>
      <c r="AE33" s="277">
        <v>5.6</v>
      </c>
      <c r="AG33" s="17">
        <v>900</v>
      </c>
      <c r="AH33" s="1">
        <v>100</v>
      </c>
      <c r="AJ33" s="17">
        <v>49</v>
      </c>
      <c r="AK33" s="277">
        <v>5.4</v>
      </c>
      <c r="AL33" s="276"/>
    </row>
    <row r="34" spans="1:38" ht="3" customHeight="1">
      <c r="A34" s="16"/>
      <c r="B34" s="17"/>
      <c r="C34" s="17"/>
      <c r="D34" s="17"/>
      <c r="E34" s="17"/>
      <c r="F34" s="17"/>
      <c r="G34" s="17"/>
      <c r="H34" s="17"/>
      <c r="I34" s="17"/>
      <c r="J34" s="17"/>
      <c r="K34" s="17"/>
      <c r="L34" s="17"/>
      <c r="M34" s="17"/>
      <c r="N34" s="17"/>
      <c r="P34" s="17"/>
      <c r="T34" s="16"/>
      <c r="U34" s="17"/>
      <c r="V34" s="17"/>
      <c r="W34" s="17"/>
      <c r="X34" s="17"/>
      <c r="Y34" s="17"/>
      <c r="Z34" s="17"/>
      <c r="AA34" s="17"/>
      <c r="AB34" s="17"/>
      <c r="AC34" s="17"/>
      <c r="AD34" s="17"/>
      <c r="AE34" s="17"/>
      <c r="AF34" s="17"/>
      <c r="AG34" s="17"/>
      <c r="AI34" s="17"/>
    </row>
    <row r="35" spans="1:38" ht="10.15" customHeight="1">
      <c r="A35" s="23"/>
      <c r="B35" s="744" t="s">
        <v>505</v>
      </c>
      <c r="C35" s="744"/>
      <c r="D35" s="744"/>
      <c r="E35" s="744"/>
      <c r="F35" s="744"/>
      <c r="G35" s="744"/>
      <c r="H35" s="744"/>
      <c r="I35" s="744"/>
      <c r="J35" s="744"/>
      <c r="K35" s="744"/>
      <c r="L35" s="744"/>
      <c r="M35" s="744"/>
      <c r="N35" s="744"/>
      <c r="O35" s="744"/>
      <c r="P35" s="744"/>
      <c r="Q35" s="744"/>
      <c r="R35" s="744"/>
      <c r="T35" s="23"/>
      <c r="U35" s="744" t="s">
        <v>506</v>
      </c>
      <c r="V35" s="744"/>
      <c r="W35" s="744"/>
      <c r="X35" s="744"/>
      <c r="Y35" s="744"/>
      <c r="Z35" s="744"/>
      <c r="AA35" s="744"/>
      <c r="AB35" s="744"/>
      <c r="AC35" s="744"/>
      <c r="AD35" s="744"/>
      <c r="AE35" s="744"/>
      <c r="AF35" s="744"/>
      <c r="AG35" s="744"/>
      <c r="AH35" s="744"/>
      <c r="AI35" s="744"/>
      <c r="AJ35" s="744"/>
      <c r="AK35" s="744"/>
    </row>
    <row r="36" spans="1:38" ht="3" customHeight="1">
      <c r="A36" s="273"/>
      <c r="B36" s="273"/>
      <c r="C36" s="273"/>
      <c r="D36" s="273"/>
      <c r="E36" s="273"/>
      <c r="F36" s="273"/>
      <c r="G36" s="273"/>
      <c r="H36" s="273"/>
      <c r="I36" s="273"/>
      <c r="J36" s="273"/>
      <c r="K36" s="273"/>
      <c r="L36" s="273"/>
      <c r="M36" s="273"/>
      <c r="N36" s="273"/>
      <c r="P36" s="273"/>
      <c r="T36" s="273"/>
      <c r="U36" s="273"/>
      <c r="V36" s="273"/>
      <c r="W36" s="273"/>
      <c r="X36" s="273"/>
      <c r="Y36" s="273"/>
      <c r="Z36" s="273"/>
      <c r="AA36" s="273"/>
      <c r="AB36" s="273"/>
      <c r="AC36" s="273"/>
      <c r="AD36" s="273"/>
      <c r="AE36" s="273"/>
      <c r="AF36" s="273"/>
      <c r="AG36" s="273"/>
      <c r="AI36" s="273"/>
    </row>
    <row r="37" spans="1:38" ht="10.15" customHeight="1">
      <c r="A37" s="13" t="s">
        <v>491</v>
      </c>
      <c r="B37" s="3">
        <v>83</v>
      </c>
      <c r="C37" s="1">
        <v>72.173913043478265</v>
      </c>
      <c r="D37" s="3"/>
      <c r="E37" s="3">
        <v>2</v>
      </c>
      <c r="F37" s="1">
        <v>2.4096385542168677</v>
      </c>
      <c r="G37" s="3"/>
      <c r="H37" s="3">
        <v>32</v>
      </c>
      <c r="I37" s="1">
        <v>27.826086956521738</v>
      </c>
      <c r="J37" s="3"/>
      <c r="K37" s="3">
        <v>3</v>
      </c>
      <c r="L37" s="1">
        <v>9.375</v>
      </c>
      <c r="M37" s="3"/>
      <c r="N37" s="3">
        <v>115</v>
      </c>
      <c r="O37" s="1">
        <v>100</v>
      </c>
      <c r="P37" s="3"/>
      <c r="Q37" s="3">
        <v>5</v>
      </c>
      <c r="R37" s="1">
        <v>4.3478260869565215</v>
      </c>
      <c r="T37" s="13" t="s">
        <v>491</v>
      </c>
      <c r="U37" s="3">
        <v>76</v>
      </c>
      <c r="V37" s="1">
        <f>U37/AG37*100</f>
        <v>71.028037383177562</v>
      </c>
      <c r="W37" s="3"/>
      <c r="X37" s="3">
        <v>3</v>
      </c>
      <c r="Y37" s="1">
        <f>X37/U37*100</f>
        <v>3.9473684210526314</v>
      </c>
      <c r="Z37" s="3"/>
      <c r="AA37" s="3">
        <v>31</v>
      </c>
      <c r="AB37" s="1">
        <f>AA37/AG37*100</f>
        <v>28.971962616822427</v>
      </c>
      <c r="AC37" s="3"/>
      <c r="AD37" s="3">
        <v>2</v>
      </c>
      <c r="AE37" s="1">
        <f>AD37/AA37*100</f>
        <v>6.4516129032258061</v>
      </c>
      <c r="AF37" s="3"/>
      <c r="AG37" s="3">
        <v>107</v>
      </c>
      <c r="AH37" s="1">
        <v>100</v>
      </c>
      <c r="AI37" s="3"/>
      <c r="AJ37" s="3">
        <v>5</v>
      </c>
      <c r="AK37" s="1">
        <f>AJ37/AG37*100</f>
        <v>4.6728971962616823</v>
      </c>
    </row>
    <row r="38" spans="1:38" ht="10.15" customHeight="1">
      <c r="A38" s="13" t="s">
        <v>492</v>
      </c>
      <c r="B38" s="3">
        <v>374</v>
      </c>
      <c r="C38" s="1">
        <v>68.75</v>
      </c>
      <c r="D38" s="3"/>
      <c r="E38" s="3">
        <v>29</v>
      </c>
      <c r="F38" s="1">
        <v>7.7540106951871666</v>
      </c>
      <c r="G38" s="3"/>
      <c r="H38" s="3">
        <v>170</v>
      </c>
      <c r="I38" s="1">
        <v>31.25</v>
      </c>
      <c r="J38" s="3"/>
      <c r="K38" s="3">
        <v>8</v>
      </c>
      <c r="L38" s="1">
        <v>4.7058823529411766</v>
      </c>
      <c r="M38" s="3"/>
      <c r="N38" s="3">
        <v>544</v>
      </c>
      <c r="O38" s="1">
        <v>100</v>
      </c>
      <c r="P38" s="3"/>
      <c r="Q38" s="3">
        <v>37</v>
      </c>
      <c r="R38" s="1">
        <v>6.8014705882352935</v>
      </c>
      <c r="T38" s="13" t="s">
        <v>492</v>
      </c>
      <c r="U38" s="3">
        <v>273</v>
      </c>
      <c r="V38" s="1">
        <f>U38/AG38*100</f>
        <v>67.241379310344826</v>
      </c>
      <c r="W38" s="3"/>
      <c r="X38" s="3">
        <v>17</v>
      </c>
      <c r="Y38" s="1">
        <f>X38/U38*100</f>
        <v>6.2271062271062272</v>
      </c>
      <c r="Z38" s="3"/>
      <c r="AA38" s="3">
        <v>133</v>
      </c>
      <c r="AB38" s="1">
        <f>AA38/AG38*100</f>
        <v>32.758620689655174</v>
      </c>
      <c r="AC38" s="3"/>
      <c r="AD38" s="3">
        <v>8</v>
      </c>
      <c r="AE38" s="1">
        <f>AD38/AA38*100</f>
        <v>6.0150375939849621</v>
      </c>
      <c r="AF38" s="3"/>
      <c r="AG38" s="3">
        <v>406</v>
      </c>
      <c r="AH38" s="1">
        <v>100</v>
      </c>
      <c r="AI38" s="3"/>
      <c r="AJ38" s="3">
        <v>25</v>
      </c>
      <c r="AK38" s="1">
        <f>AJ38/AG38*100</f>
        <v>6.1576354679802954</v>
      </c>
    </row>
    <row r="39" spans="1:38" ht="10.15" customHeight="1">
      <c r="A39" s="29" t="s">
        <v>493</v>
      </c>
      <c r="B39" s="3">
        <v>249</v>
      </c>
      <c r="C39" s="1">
        <v>60.731707317073166</v>
      </c>
      <c r="D39" s="3"/>
      <c r="E39" s="3">
        <v>10</v>
      </c>
      <c r="F39" s="1">
        <v>4.0160642570281126</v>
      </c>
      <c r="G39" s="3"/>
      <c r="H39" s="3">
        <v>161</v>
      </c>
      <c r="I39" s="1">
        <v>39.268292682926834</v>
      </c>
      <c r="J39" s="3"/>
      <c r="K39" s="3">
        <v>6</v>
      </c>
      <c r="L39" s="1">
        <v>3.7267080745341614</v>
      </c>
      <c r="M39" s="3"/>
      <c r="N39" s="3">
        <v>410</v>
      </c>
      <c r="O39" s="1">
        <v>100</v>
      </c>
      <c r="P39" s="3"/>
      <c r="Q39" s="3">
        <v>16</v>
      </c>
      <c r="R39" s="1">
        <v>3.9024390243902438</v>
      </c>
      <c r="T39" s="29" t="s">
        <v>493</v>
      </c>
      <c r="U39" s="3">
        <v>248</v>
      </c>
      <c r="V39" s="1">
        <f>U39/AG39*100</f>
        <v>64.082687338501287</v>
      </c>
      <c r="W39" s="3"/>
      <c r="X39" s="3">
        <v>12</v>
      </c>
      <c r="Y39" s="1">
        <f>X39/U39*100</f>
        <v>4.838709677419355</v>
      </c>
      <c r="Z39" s="3"/>
      <c r="AA39" s="3">
        <v>139</v>
      </c>
      <c r="AB39" s="1">
        <f>AA39/AG39*100</f>
        <v>35.917312661498705</v>
      </c>
      <c r="AC39" s="3"/>
      <c r="AD39" s="3">
        <v>7</v>
      </c>
      <c r="AE39" s="1">
        <f>AD39/AA39*100</f>
        <v>5.0359712230215825</v>
      </c>
      <c r="AF39" s="3"/>
      <c r="AG39" s="3">
        <v>387</v>
      </c>
      <c r="AH39" s="1">
        <v>100</v>
      </c>
      <c r="AI39" s="3"/>
      <c r="AJ39" s="3">
        <v>19</v>
      </c>
      <c r="AK39" s="1">
        <f>AJ39/AG39*100</f>
        <v>4.909560723514212</v>
      </c>
    </row>
    <row r="40" spans="1:38" ht="10.15" customHeight="1">
      <c r="A40" s="16" t="s">
        <v>58</v>
      </c>
      <c r="B40" s="5">
        <v>706</v>
      </c>
      <c r="C40" s="6">
        <v>66.043030869971943</v>
      </c>
      <c r="D40" s="3"/>
      <c r="E40" s="5">
        <v>41</v>
      </c>
      <c r="F40" s="6">
        <v>5.8073654390934841</v>
      </c>
      <c r="G40" s="3"/>
      <c r="H40" s="5">
        <v>363</v>
      </c>
      <c r="I40" s="6">
        <v>33.956969130028064</v>
      </c>
      <c r="J40" s="16"/>
      <c r="K40" s="5">
        <v>17</v>
      </c>
      <c r="L40" s="6">
        <v>4.6831955922865012</v>
      </c>
      <c r="M40" s="3"/>
      <c r="N40" s="5">
        <v>1069</v>
      </c>
      <c r="O40" s="1">
        <v>100</v>
      </c>
      <c r="P40" s="3"/>
      <c r="Q40" s="5">
        <v>58</v>
      </c>
      <c r="R40" s="6">
        <v>5.4256314312441534</v>
      </c>
      <c r="T40" s="16" t="s">
        <v>58</v>
      </c>
      <c r="U40" s="5">
        <v>597</v>
      </c>
      <c r="V40" s="6">
        <f>U40/AG40*100</f>
        <v>66.333333333333329</v>
      </c>
      <c r="W40" s="5"/>
      <c r="X40" s="5">
        <v>32</v>
      </c>
      <c r="Y40" s="6">
        <f>X40/U40*100</f>
        <v>5.3601340033500842</v>
      </c>
      <c r="Z40" s="5"/>
      <c r="AA40" s="5">
        <v>303</v>
      </c>
      <c r="AB40" s="6">
        <f>AA40/AG40*100</f>
        <v>33.666666666666664</v>
      </c>
      <c r="AC40" s="5"/>
      <c r="AD40" s="5">
        <v>17</v>
      </c>
      <c r="AE40" s="6">
        <f>AD40/AA40*100</f>
        <v>5.6105610561056105</v>
      </c>
      <c r="AF40" s="5"/>
      <c r="AG40" s="5">
        <v>900</v>
      </c>
      <c r="AH40" s="6">
        <v>100</v>
      </c>
      <c r="AI40" s="5"/>
      <c r="AJ40" s="5">
        <v>49</v>
      </c>
      <c r="AK40" s="6">
        <f>AJ40/AG40*100</f>
        <v>5.4444444444444438</v>
      </c>
    </row>
    <row r="41" spans="1:38" ht="3" customHeight="1">
      <c r="A41" s="16"/>
      <c r="B41" s="17"/>
      <c r="C41" s="17"/>
      <c r="D41" s="17"/>
      <c r="E41" s="17"/>
      <c r="F41" s="17"/>
      <c r="G41" s="17"/>
      <c r="H41" s="17"/>
      <c r="I41" s="17"/>
      <c r="J41" s="17"/>
      <c r="K41" s="17"/>
      <c r="L41" s="17"/>
      <c r="M41" s="17"/>
      <c r="N41" s="17"/>
      <c r="P41" s="17"/>
      <c r="T41" s="16"/>
      <c r="U41" s="17"/>
      <c r="V41" s="17"/>
      <c r="W41" s="17"/>
      <c r="X41" s="17"/>
      <c r="Y41" s="17"/>
      <c r="Z41" s="17"/>
      <c r="AA41" s="17"/>
      <c r="AB41" s="17"/>
      <c r="AC41" s="17"/>
      <c r="AD41" s="17"/>
      <c r="AE41" s="17"/>
      <c r="AF41" s="17"/>
      <c r="AG41" s="17"/>
      <c r="AI41" s="17"/>
    </row>
    <row r="42" spans="1:38" ht="10.15" customHeight="1">
      <c r="A42" s="23"/>
      <c r="B42" s="752" t="s">
        <v>508</v>
      </c>
      <c r="C42" s="752"/>
      <c r="D42" s="752"/>
      <c r="E42" s="752"/>
      <c r="F42" s="752"/>
      <c r="G42" s="752"/>
      <c r="H42" s="752"/>
      <c r="I42" s="752"/>
      <c r="J42" s="752"/>
      <c r="K42" s="752"/>
      <c r="L42" s="752"/>
      <c r="M42" s="752"/>
      <c r="N42" s="752"/>
      <c r="O42" s="752"/>
      <c r="P42" s="752"/>
      <c r="Q42" s="752"/>
      <c r="R42" s="752"/>
      <c r="T42" s="23"/>
      <c r="U42" s="752" t="s">
        <v>508</v>
      </c>
      <c r="V42" s="752"/>
      <c r="W42" s="752"/>
      <c r="X42" s="752"/>
      <c r="Y42" s="752"/>
      <c r="Z42" s="752"/>
      <c r="AA42" s="752"/>
      <c r="AB42" s="752"/>
      <c r="AC42" s="752"/>
      <c r="AD42" s="752"/>
      <c r="AE42" s="752"/>
      <c r="AF42" s="752"/>
      <c r="AG42" s="752"/>
      <c r="AH42" s="752"/>
      <c r="AI42" s="752"/>
      <c r="AJ42" s="752"/>
      <c r="AK42" s="752"/>
    </row>
    <row r="43" spans="1:38" ht="3" customHeight="1">
      <c r="A43" s="273"/>
      <c r="B43" s="273"/>
      <c r="C43" s="273"/>
      <c r="D43" s="273"/>
      <c r="E43" s="273"/>
      <c r="F43" s="273"/>
      <c r="G43" s="273"/>
      <c r="H43" s="273"/>
      <c r="I43" s="273"/>
      <c r="J43" s="273"/>
      <c r="K43" s="273"/>
      <c r="L43" s="273"/>
      <c r="M43" s="273"/>
      <c r="N43" s="273"/>
      <c r="P43" s="273"/>
      <c r="T43" s="273"/>
      <c r="U43" s="273"/>
      <c r="V43" s="273"/>
      <c r="W43" s="273"/>
      <c r="X43" s="273"/>
      <c r="Y43" s="273"/>
      <c r="Z43" s="273"/>
      <c r="AA43" s="273"/>
      <c r="AB43" s="273"/>
      <c r="AC43" s="273"/>
      <c r="AD43" s="273"/>
      <c r="AE43" s="273"/>
      <c r="AF43" s="273"/>
      <c r="AG43" s="273"/>
      <c r="AI43" s="273"/>
    </row>
    <row r="44" spans="1:38" ht="10.15" customHeight="1">
      <c r="A44" s="33" t="s">
        <v>442</v>
      </c>
      <c r="B44" s="3">
        <v>154</v>
      </c>
      <c r="C44" s="1">
        <v>55.39568345323741</v>
      </c>
      <c r="D44" s="5"/>
      <c r="E44" s="3">
        <v>4</v>
      </c>
      <c r="F44" s="1">
        <v>2.5974025974025974</v>
      </c>
      <c r="G44" s="5"/>
      <c r="H44" s="3">
        <v>124</v>
      </c>
      <c r="I44" s="1">
        <v>44.60431654676259</v>
      </c>
      <c r="J44" s="5"/>
      <c r="K44" s="3">
        <v>9</v>
      </c>
      <c r="L44" s="1">
        <v>7.2580645161290329</v>
      </c>
      <c r="M44" s="5"/>
      <c r="N44" s="3">
        <v>278</v>
      </c>
      <c r="O44" s="1">
        <v>100</v>
      </c>
      <c r="P44" s="5"/>
      <c r="Q44" s="3">
        <v>13</v>
      </c>
      <c r="R44" s="1">
        <v>4.6762589928057556</v>
      </c>
      <c r="T44" s="25" t="s">
        <v>444</v>
      </c>
      <c r="U44" s="3">
        <v>210</v>
      </c>
      <c r="V44" s="1">
        <v>56.910569105691053</v>
      </c>
      <c r="W44" s="5"/>
      <c r="X44" s="3">
        <v>12</v>
      </c>
      <c r="Y44" s="1">
        <v>5.7142857142857144</v>
      </c>
      <c r="Z44" s="5"/>
      <c r="AA44" s="3">
        <v>159</v>
      </c>
      <c r="AB44" s="1">
        <v>43.089430894308947</v>
      </c>
      <c r="AC44" s="5"/>
      <c r="AD44" s="3">
        <v>15</v>
      </c>
      <c r="AE44" s="1">
        <v>9.433962264150944</v>
      </c>
      <c r="AF44" s="5"/>
      <c r="AG44" s="3">
        <v>369</v>
      </c>
      <c r="AH44" s="1">
        <v>100</v>
      </c>
      <c r="AI44" s="5"/>
      <c r="AJ44" s="3">
        <v>27</v>
      </c>
      <c r="AK44" s="1">
        <v>7.3170731707317067</v>
      </c>
    </row>
    <row r="45" spans="1:38" ht="10.15" customHeight="1">
      <c r="A45" s="33" t="s">
        <v>443</v>
      </c>
      <c r="B45" s="3">
        <v>184</v>
      </c>
      <c r="C45" s="1">
        <v>57.861635220125784</v>
      </c>
      <c r="D45" s="5"/>
      <c r="E45" s="3">
        <v>4</v>
      </c>
      <c r="F45" s="1">
        <v>2.1739130434782608</v>
      </c>
      <c r="G45" s="5"/>
      <c r="H45" s="3">
        <v>134</v>
      </c>
      <c r="I45" s="1">
        <v>42.138364779874216</v>
      </c>
      <c r="J45" s="5"/>
      <c r="K45" s="3">
        <v>3</v>
      </c>
      <c r="L45" s="1">
        <v>2.2388059701492535</v>
      </c>
      <c r="M45" s="5"/>
      <c r="N45" s="3">
        <v>318</v>
      </c>
      <c r="O45" s="1">
        <v>100</v>
      </c>
      <c r="P45" s="5"/>
      <c r="Q45" s="3">
        <v>7</v>
      </c>
      <c r="R45" s="1">
        <v>2.2012578616352201</v>
      </c>
      <c r="T45" s="33" t="s">
        <v>442</v>
      </c>
      <c r="U45" s="3">
        <v>154</v>
      </c>
      <c r="V45" s="1">
        <v>55.39568345323741</v>
      </c>
      <c r="W45" s="5"/>
      <c r="X45" s="3">
        <v>4</v>
      </c>
      <c r="Y45" s="1">
        <v>2.5974025974025974</v>
      </c>
      <c r="Z45" s="5"/>
      <c r="AA45" s="3">
        <v>124</v>
      </c>
      <c r="AB45" s="1">
        <v>44.60431654676259</v>
      </c>
      <c r="AC45" s="5"/>
      <c r="AD45" s="3">
        <v>9</v>
      </c>
      <c r="AE45" s="1">
        <v>7.2580645161290329</v>
      </c>
      <c r="AF45" s="5"/>
      <c r="AG45" s="3">
        <v>278</v>
      </c>
      <c r="AH45" s="1">
        <v>100</v>
      </c>
      <c r="AI45" s="5"/>
      <c r="AJ45" s="3">
        <v>13</v>
      </c>
      <c r="AK45" s="1">
        <v>4.6762589928057556</v>
      </c>
    </row>
    <row r="46" spans="1:38" ht="10.15" customHeight="1">
      <c r="A46" s="33" t="s">
        <v>445</v>
      </c>
      <c r="B46" s="3">
        <v>187</v>
      </c>
      <c r="C46" s="1">
        <v>49.081364829396321</v>
      </c>
      <c r="D46" s="3"/>
      <c r="E46" s="3">
        <v>6</v>
      </c>
      <c r="F46" s="1">
        <v>3.2085561497326207</v>
      </c>
      <c r="G46" s="3"/>
      <c r="H46" s="3">
        <v>194</v>
      </c>
      <c r="I46" s="1">
        <v>50.918635170603679</v>
      </c>
      <c r="J46" s="3"/>
      <c r="K46" s="3">
        <v>3</v>
      </c>
      <c r="L46" s="1">
        <v>1.5463917525773196</v>
      </c>
      <c r="M46" s="3"/>
      <c r="N46" s="3">
        <v>381</v>
      </c>
      <c r="O46" s="1">
        <v>100</v>
      </c>
      <c r="P46" s="3"/>
      <c r="Q46" s="3">
        <v>9</v>
      </c>
      <c r="R46" s="1">
        <v>2.3622047244094486</v>
      </c>
      <c r="T46" s="33" t="s">
        <v>443</v>
      </c>
      <c r="U46" s="3">
        <v>184</v>
      </c>
      <c r="V46" s="1">
        <v>57.861635220125784</v>
      </c>
      <c r="W46" s="5"/>
      <c r="X46" s="3">
        <v>4</v>
      </c>
      <c r="Y46" s="1">
        <v>2.1739130434782608</v>
      </c>
      <c r="Z46" s="5"/>
      <c r="AA46" s="3">
        <v>134</v>
      </c>
      <c r="AB46" s="1">
        <v>42.138364779874216</v>
      </c>
      <c r="AC46" s="5"/>
      <c r="AD46" s="3">
        <v>3</v>
      </c>
      <c r="AE46" s="1">
        <v>2.2388059701492535</v>
      </c>
      <c r="AF46" s="5"/>
      <c r="AG46" s="3">
        <v>318</v>
      </c>
      <c r="AH46" s="1">
        <v>100</v>
      </c>
      <c r="AI46" s="5"/>
      <c r="AJ46" s="3">
        <v>7</v>
      </c>
      <c r="AK46" s="1">
        <v>2.2012578616352201</v>
      </c>
    </row>
    <row r="47" spans="1:38" ht="10.15" customHeight="1">
      <c r="A47" s="29" t="s">
        <v>446</v>
      </c>
      <c r="B47" s="3">
        <v>227</v>
      </c>
      <c r="C47" s="1">
        <v>45.858585858585862</v>
      </c>
      <c r="D47" s="3"/>
      <c r="E47" s="3">
        <v>10</v>
      </c>
      <c r="F47" s="1">
        <v>4.4052863436123353</v>
      </c>
      <c r="G47" s="3"/>
      <c r="H47" s="3">
        <v>268</v>
      </c>
      <c r="I47" s="1">
        <v>54.141414141414145</v>
      </c>
      <c r="J47" s="3"/>
      <c r="K47" s="3">
        <v>4</v>
      </c>
      <c r="L47" s="1">
        <v>1.4925373134328357</v>
      </c>
      <c r="M47" s="3"/>
      <c r="N47" s="3">
        <v>495</v>
      </c>
      <c r="O47" s="1">
        <v>100</v>
      </c>
      <c r="P47" s="3"/>
      <c r="Q47" s="3">
        <v>14</v>
      </c>
      <c r="R47" s="1">
        <v>2.8282828282828283</v>
      </c>
      <c r="T47" s="33" t="s">
        <v>445</v>
      </c>
      <c r="U47" s="3">
        <v>187</v>
      </c>
      <c r="V47" s="1">
        <v>49.081364829396321</v>
      </c>
      <c r="W47" s="3"/>
      <c r="X47" s="3">
        <v>6</v>
      </c>
      <c r="Y47" s="1">
        <v>3.2085561497326207</v>
      </c>
      <c r="Z47" s="3"/>
      <c r="AA47" s="3">
        <v>194</v>
      </c>
      <c r="AB47" s="1">
        <v>50.918635170603679</v>
      </c>
      <c r="AC47" s="3"/>
      <c r="AD47" s="3">
        <v>3</v>
      </c>
      <c r="AE47" s="1">
        <v>1.5463917525773196</v>
      </c>
      <c r="AF47" s="3"/>
      <c r="AG47" s="3">
        <v>381</v>
      </c>
      <c r="AH47" s="1">
        <v>100</v>
      </c>
      <c r="AI47" s="3"/>
      <c r="AJ47" s="3">
        <v>9</v>
      </c>
      <c r="AK47" s="1">
        <v>2.3622047244094486</v>
      </c>
    </row>
    <row r="48" spans="1:38" s="48" customFormat="1" ht="10.15" customHeight="1">
      <c r="A48" s="29" t="s">
        <v>504</v>
      </c>
      <c r="B48" s="3">
        <v>294</v>
      </c>
      <c r="C48" s="1">
        <v>50.085178875638839</v>
      </c>
      <c r="D48" s="3"/>
      <c r="E48" s="3">
        <v>15</v>
      </c>
      <c r="F48" s="1">
        <v>5.1020408163265305</v>
      </c>
      <c r="G48" s="3"/>
      <c r="H48" s="3">
        <v>293</v>
      </c>
      <c r="I48" s="1">
        <v>49.914821124361161</v>
      </c>
      <c r="J48" s="3"/>
      <c r="K48" s="3">
        <v>11</v>
      </c>
      <c r="L48" s="1">
        <v>3.7542662116040959</v>
      </c>
      <c r="M48" s="3"/>
      <c r="N48" s="3">
        <v>587</v>
      </c>
      <c r="O48" s="1">
        <v>100</v>
      </c>
      <c r="P48" s="3"/>
      <c r="Q48" s="3">
        <v>26</v>
      </c>
      <c r="R48" s="1">
        <v>4.4293015332197614</v>
      </c>
      <c r="T48" s="29" t="s">
        <v>446</v>
      </c>
      <c r="U48" s="3">
        <v>227</v>
      </c>
      <c r="V48" s="1">
        <f>U48/AG48*100</f>
        <v>45.858585858585862</v>
      </c>
      <c r="W48" s="3"/>
      <c r="X48" s="3">
        <v>10</v>
      </c>
      <c r="Y48" s="1">
        <f>X48/U48*100</f>
        <v>4.4052863436123353</v>
      </c>
      <c r="Z48" s="3"/>
      <c r="AA48" s="3">
        <v>268</v>
      </c>
      <c r="AB48" s="1">
        <f>AA48/AG48*100</f>
        <v>54.141414141414145</v>
      </c>
      <c r="AC48" s="3"/>
      <c r="AD48" s="3">
        <v>4</v>
      </c>
      <c r="AE48" s="1">
        <f>AD48/AA48*100</f>
        <v>1.4925373134328357</v>
      </c>
      <c r="AF48" s="3"/>
      <c r="AG48" s="3">
        <v>495</v>
      </c>
      <c r="AH48" s="1">
        <v>100</v>
      </c>
      <c r="AI48" s="3"/>
      <c r="AJ48" s="3">
        <v>14</v>
      </c>
      <c r="AK48" s="1">
        <f>AJ48/AG48*100</f>
        <v>2.8282828282828283</v>
      </c>
    </row>
    <row r="49" spans="1:39" ht="3" customHeight="1">
      <c r="A49" s="16"/>
      <c r="B49" s="17"/>
      <c r="C49" s="17"/>
      <c r="D49" s="17"/>
      <c r="E49" s="17"/>
      <c r="F49" s="17"/>
      <c r="G49" s="17"/>
      <c r="H49" s="17"/>
      <c r="I49" s="17"/>
      <c r="J49" s="17"/>
      <c r="K49" s="17"/>
      <c r="L49" s="17"/>
      <c r="M49" s="17"/>
      <c r="N49" s="17"/>
      <c r="P49" s="17"/>
      <c r="T49" s="16"/>
      <c r="U49" s="17"/>
      <c r="V49" s="17"/>
      <c r="W49" s="17"/>
      <c r="X49" s="17"/>
      <c r="Y49" s="17"/>
      <c r="Z49" s="17"/>
      <c r="AA49" s="17"/>
      <c r="AB49" s="17"/>
      <c r="AC49" s="17"/>
      <c r="AD49" s="17"/>
      <c r="AE49" s="17"/>
      <c r="AF49" s="17"/>
      <c r="AG49" s="17"/>
      <c r="AI49" s="17"/>
    </row>
    <row r="50" spans="1:39" ht="10.15" customHeight="1">
      <c r="A50" s="23"/>
      <c r="B50" s="744" t="s">
        <v>505</v>
      </c>
      <c r="C50" s="744"/>
      <c r="D50" s="744"/>
      <c r="E50" s="744"/>
      <c r="F50" s="744"/>
      <c r="G50" s="744"/>
      <c r="H50" s="744"/>
      <c r="I50" s="744"/>
      <c r="J50" s="744"/>
      <c r="K50" s="744"/>
      <c r="L50" s="744"/>
      <c r="M50" s="744"/>
      <c r="N50" s="744"/>
      <c r="O50" s="744"/>
      <c r="P50" s="744"/>
      <c r="Q50" s="744"/>
      <c r="R50" s="744"/>
      <c r="T50" s="23"/>
      <c r="U50" s="744" t="s">
        <v>509</v>
      </c>
      <c r="V50" s="744"/>
      <c r="W50" s="744"/>
      <c r="X50" s="744"/>
      <c r="Y50" s="744"/>
      <c r="Z50" s="744"/>
      <c r="AA50" s="744"/>
      <c r="AB50" s="744"/>
      <c r="AC50" s="744"/>
      <c r="AD50" s="744"/>
      <c r="AE50" s="744"/>
      <c r="AF50" s="744"/>
      <c r="AG50" s="744"/>
      <c r="AH50" s="744"/>
      <c r="AI50" s="744"/>
      <c r="AJ50" s="744"/>
      <c r="AK50" s="744"/>
    </row>
    <row r="51" spans="1:39" ht="3" customHeight="1">
      <c r="A51" s="273"/>
      <c r="B51" s="273"/>
      <c r="C51" s="273"/>
      <c r="D51" s="273"/>
      <c r="E51" s="273"/>
      <c r="F51" s="273"/>
      <c r="G51" s="273"/>
      <c r="H51" s="273"/>
      <c r="I51" s="273"/>
      <c r="J51" s="273"/>
      <c r="K51" s="273"/>
      <c r="L51" s="273"/>
      <c r="M51" s="273"/>
      <c r="N51" s="273"/>
      <c r="P51" s="273"/>
      <c r="T51" s="273"/>
      <c r="U51" s="273"/>
      <c r="V51" s="273"/>
      <c r="W51" s="273"/>
      <c r="X51" s="273"/>
      <c r="Y51" s="273"/>
      <c r="Z51" s="273"/>
      <c r="AA51" s="273"/>
      <c r="AB51" s="273"/>
      <c r="AC51" s="273"/>
      <c r="AD51" s="273"/>
      <c r="AE51" s="273"/>
      <c r="AF51" s="273"/>
      <c r="AG51" s="273"/>
      <c r="AI51" s="273"/>
    </row>
    <row r="52" spans="1:39" ht="10.15" customHeight="1">
      <c r="A52" s="13" t="s">
        <v>491</v>
      </c>
      <c r="B52" s="3">
        <v>24</v>
      </c>
      <c r="C52" s="1">
        <v>48.979591836734691</v>
      </c>
      <c r="D52" s="3"/>
      <c r="E52" s="3">
        <v>4</v>
      </c>
      <c r="F52" s="1">
        <v>16.666666666666664</v>
      </c>
      <c r="G52" s="3"/>
      <c r="H52" s="3">
        <v>25</v>
      </c>
      <c r="I52" s="1">
        <v>51.020408163265309</v>
      </c>
      <c r="J52" s="3"/>
      <c r="K52" s="3">
        <v>3</v>
      </c>
      <c r="L52" s="1">
        <v>12</v>
      </c>
      <c r="M52" s="3"/>
      <c r="N52" s="3">
        <v>49</v>
      </c>
      <c r="O52" s="1">
        <v>100</v>
      </c>
      <c r="P52" s="3"/>
      <c r="Q52" s="3">
        <v>7</v>
      </c>
      <c r="R52" s="1">
        <v>14.285714285714285</v>
      </c>
      <c r="T52" s="13" t="s">
        <v>491</v>
      </c>
      <c r="U52" s="3">
        <v>13</v>
      </c>
      <c r="V52" s="1">
        <f>U52/AG52*100</f>
        <v>37.142857142857146</v>
      </c>
      <c r="W52" s="3"/>
      <c r="X52" s="3">
        <v>1</v>
      </c>
      <c r="Y52" s="1">
        <f>X52/U52*100</f>
        <v>7.6923076923076925</v>
      </c>
      <c r="Z52" s="3"/>
      <c r="AA52" s="3">
        <v>22</v>
      </c>
      <c r="AB52" s="1">
        <f>AA52/AG52*100</f>
        <v>62.857142857142854</v>
      </c>
      <c r="AC52" s="3"/>
      <c r="AD52" s="3">
        <v>0</v>
      </c>
      <c r="AE52" s="1">
        <f>AD52/AA52*100</f>
        <v>0</v>
      </c>
      <c r="AF52" s="3"/>
      <c r="AG52" s="3">
        <v>35</v>
      </c>
      <c r="AH52" s="1">
        <v>100</v>
      </c>
      <c r="AI52" s="3"/>
      <c r="AJ52" s="3">
        <v>1</v>
      </c>
      <c r="AK52" s="1">
        <f>AJ52/AG52*100</f>
        <v>2.8571428571428572</v>
      </c>
    </row>
    <row r="53" spans="1:39" ht="10.15" customHeight="1">
      <c r="A53" s="13" t="s">
        <v>492</v>
      </c>
      <c r="B53" s="3">
        <v>139</v>
      </c>
      <c r="C53" s="1">
        <v>44.838709677419352</v>
      </c>
      <c r="D53" s="3"/>
      <c r="E53" s="3">
        <v>5</v>
      </c>
      <c r="F53" s="1">
        <v>3.5971223021582732</v>
      </c>
      <c r="G53" s="3"/>
      <c r="H53" s="3">
        <v>171</v>
      </c>
      <c r="I53" s="1">
        <v>55.161290322580648</v>
      </c>
      <c r="J53" s="3"/>
      <c r="K53" s="3">
        <v>6</v>
      </c>
      <c r="L53" s="1">
        <v>3.5087719298245612</v>
      </c>
      <c r="M53" s="3"/>
      <c r="N53" s="3">
        <v>310</v>
      </c>
      <c r="O53" s="1">
        <v>100</v>
      </c>
      <c r="P53" s="3"/>
      <c r="Q53" s="3">
        <v>11</v>
      </c>
      <c r="R53" s="1">
        <v>3.5483870967741935</v>
      </c>
      <c r="T53" s="13" t="s">
        <v>492</v>
      </c>
      <c r="U53" s="3">
        <v>100</v>
      </c>
      <c r="V53" s="1">
        <f>U53/AG53*100</f>
        <v>39.525691699604742</v>
      </c>
      <c r="W53" s="3"/>
      <c r="X53" s="3">
        <v>5</v>
      </c>
      <c r="Y53" s="1">
        <f>X53/U53*100</f>
        <v>5</v>
      </c>
      <c r="Z53" s="3"/>
      <c r="AA53" s="3">
        <v>153</v>
      </c>
      <c r="AB53" s="1">
        <f>AA53/AG53*100</f>
        <v>60.474308300395251</v>
      </c>
      <c r="AC53" s="3"/>
      <c r="AD53" s="3">
        <v>4</v>
      </c>
      <c r="AE53" s="1">
        <f>AD53/AA53*100</f>
        <v>2.6143790849673203</v>
      </c>
      <c r="AF53" s="3"/>
      <c r="AG53" s="3">
        <v>253</v>
      </c>
      <c r="AH53" s="1">
        <v>100</v>
      </c>
      <c r="AI53" s="3"/>
      <c r="AJ53" s="3">
        <v>9</v>
      </c>
      <c r="AK53" s="1">
        <f>AJ53/AG53*100</f>
        <v>3.5573122529644272</v>
      </c>
    </row>
    <row r="54" spans="1:39" ht="10.15" customHeight="1">
      <c r="A54" s="29" t="s">
        <v>493</v>
      </c>
      <c r="B54" s="3">
        <v>131</v>
      </c>
      <c r="C54" s="1">
        <v>57.456140350877192</v>
      </c>
      <c r="D54" s="3"/>
      <c r="E54" s="3">
        <v>6</v>
      </c>
      <c r="F54" s="1">
        <v>4.5801526717557248</v>
      </c>
      <c r="G54" s="3"/>
      <c r="H54" s="3">
        <v>97</v>
      </c>
      <c r="I54" s="1">
        <v>42.543859649122808</v>
      </c>
      <c r="J54" s="3"/>
      <c r="K54" s="3">
        <v>2</v>
      </c>
      <c r="L54" s="1">
        <v>2.0618556701030926</v>
      </c>
      <c r="M54" s="3"/>
      <c r="N54" s="3">
        <v>228</v>
      </c>
      <c r="O54" s="1">
        <v>100</v>
      </c>
      <c r="P54" s="3"/>
      <c r="Q54" s="3">
        <v>8</v>
      </c>
      <c r="R54" s="1">
        <v>3.5087719298245612</v>
      </c>
      <c r="T54" s="29" t="s">
        <v>493</v>
      </c>
      <c r="U54" s="3">
        <v>114</v>
      </c>
      <c r="V54" s="1">
        <f>U54/AG54*100</f>
        <v>55.072463768115945</v>
      </c>
      <c r="W54" s="3"/>
      <c r="X54" s="3">
        <v>4</v>
      </c>
      <c r="Y54" s="1">
        <f>X54/U54*100</f>
        <v>3.5087719298245612</v>
      </c>
      <c r="Z54" s="3"/>
      <c r="AA54" s="3">
        <v>93</v>
      </c>
      <c r="AB54" s="1">
        <f>AA54/AG54*100</f>
        <v>44.927536231884055</v>
      </c>
      <c r="AC54" s="3"/>
      <c r="AD54" s="3">
        <v>0</v>
      </c>
      <c r="AE54" s="1">
        <f>AD54/AA54*100</f>
        <v>0</v>
      </c>
      <c r="AF54" s="3"/>
      <c r="AG54" s="3">
        <v>207</v>
      </c>
      <c r="AH54" s="1">
        <v>100</v>
      </c>
      <c r="AI54" s="3"/>
      <c r="AJ54" s="3">
        <v>4</v>
      </c>
      <c r="AK54" s="1">
        <f>AJ54/AG54*100</f>
        <v>1.932367149758454</v>
      </c>
    </row>
    <row r="55" spans="1:39" ht="10.15" customHeight="1">
      <c r="A55" s="16" t="s">
        <v>58</v>
      </c>
      <c r="B55" s="5">
        <v>294</v>
      </c>
      <c r="C55" s="6">
        <v>50.085178875638839</v>
      </c>
      <c r="D55" s="5"/>
      <c r="E55" s="5">
        <v>15</v>
      </c>
      <c r="F55" s="6">
        <v>5.1020408163265305</v>
      </c>
      <c r="G55" s="5"/>
      <c r="H55" s="5">
        <v>293</v>
      </c>
      <c r="I55" s="6">
        <v>49.914821124361161</v>
      </c>
      <c r="J55" s="5"/>
      <c r="K55" s="5">
        <v>11</v>
      </c>
      <c r="L55" s="6">
        <v>3.7542662116040959</v>
      </c>
      <c r="M55" s="5"/>
      <c r="N55" s="5">
        <v>587</v>
      </c>
      <c r="O55" s="6">
        <v>100</v>
      </c>
      <c r="P55" s="5"/>
      <c r="Q55" s="5">
        <v>26</v>
      </c>
      <c r="R55" s="6">
        <v>4.4293015332197614</v>
      </c>
      <c r="T55" s="16" t="s">
        <v>58</v>
      </c>
      <c r="U55" s="5">
        <v>227</v>
      </c>
      <c r="V55" s="6">
        <f>U55/AG55*100</f>
        <v>45.858585858585862</v>
      </c>
      <c r="W55" s="5"/>
      <c r="X55" s="5">
        <v>10</v>
      </c>
      <c r="Y55" s="6">
        <f>X55/U55*100</f>
        <v>4.4052863436123353</v>
      </c>
      <c r="Z55" s="5"/>
      <c r="AA55" s="5">
        <v>268</v>
      </c>
      <c r="AB55" s="6">
        <f>AA55/AG55*100</f>
        <v>54.141414141414145</v>
      </c>
      <c r="AC55" s="5"/>
      <c r="AD55" s="5">
        <v>4</v>
      </c>
      <c r="AE55" s="6">
        <f>AD55/AA55*100</f>
        <v>1.4925373134328357</v>
      </c>
      <c r="AF55" s="5"/>
      <c r="AG55" s="5">
        <v>495</v>
      </c>
      <c r="AH55" s="6">
        <v>100</v>
      </c>
      <c r="AI55" s="5"/>
      <c r="AJ55" s="5">
        <v>14</v>
      </c>
      <c r="AK55" s="6">
        <f>AJ55/AG55*100</f>
        <v>2.8282828282828283</v>
      </c>
    </row>
    <row r="56" spans="1:39" ht="3" customHeight="1">
      <c r="A56" s="20"/>
      <c r="B56" s="20"/>
      <c r="C56" s="20"/>
      <c r="D56" s="20"/>
      <c r="E56" s="21"/>
      <c r="F56" s="20"/>
      <c r="G56" s="20"/>
      <c r="H56" s="20"/>
      <c r="I56" s="20"/>
      <c r="J56" s="20"/>
      <c r="K56" s="20"/>
      <c r="L56" s="20"/>
      <c r="M56" s="20"/>
      <c r="N56" s="22"/>
      <c r="O56" s="20"/>
      <c r="P56" s="20"/>
      <c r="Q56" s="20"/>
      <c r="R56" s="20"/>
      <c r="T56" s="20"/>
      <c r="U56" s="20"/>
      <c r="V56" s="20"/>
      <c r="W56" s="20"/>
      <c r="X56" s="21"/>
      <c r="Y56" s="20"/>
      <c r="Z56" s="20"/>
      <c r="AA56" s="20"/>
      <c r="AB56" s="20"/>
      <c r="AC56" s="20"/>
      <c r="AD56" s="20"/>
      <c r="AE56" s="20"/>
      <c r="AF56" s="20"/>
      <c r="AG56" s="22"/>
      <c r="AH56" s="20"/>
      <c r="AI56" s="20"/>
      <c r="AJ56" s="20"/>
      <c r="AK56" s="20"/>
    </row>
    <row r="57" spans="1:39" ht="3" customHeight="1"/>
    <row r="58" spans="1:39" ht="9.75" customHeight="1">
      <c r="A58" s="706" t="s">
        <v>429</v>
      </c>
      <c r="B58" s="706"/>
      <c r="C58" s="706"/>
      <c r="D58" s="706"/>
      <c r="E58" s="706"/>
      <c r="F58" s="706"/>
      <c r="G58" s="706"/>
      <c r="H58" s="706"/>
      <c r="I58" s="706"/>
      <c r="J58" s="706"/>
      <c r="K58" s="706"/>
      <c r="L58" s="706"/>
      <c r="M58" s="706"/>
      <c r="N58" s="706"/>
      <c r="O58" s="706"/>
      <c r="P58" s="706"/>
      <c r="Q58" s="706"/>
      <c r="R58" s="706"/>
      <c r="S58" s="706"/>
      <c r="T58" s="706"/>
      <c r="U58" s="706"/>
      <c r="V58" s="706"/>
      <c r="W58" s="706"/>
      <c r="X58" s="706"/>
      <c r="Y58" s="706"/>
      <c r="Z58" s="706"/>
      <c r="AA58" s="706"/>
      <c r="AB58" s="706"/>
      <c r="AC58" s="706"/>
      <c r="AD58" s="706"/>
      <c r="AE58" s="706"/>
      <c r="AF58" s="706"/>
      <c r="AG58" s="706"/>
      <c r="AH58" s="706"/>
      <c r="AI58" s="706"/>
      <c r="AJ58" s="706"/>
      <c r="AK58" s="706"/>
      <c r="AL58" s="706"/>
      <c r="AM58" s="500"/>
    </row>
    <row r="59" spans="1:39" ht="47.15" customHeight="1">
      <c r="A59" s="734" t="s">
        <v>498</v>
      </c>
      <c r="B59" s="732"/>
      <c r="C59" s="732"/>
      <c r="D59" s="732"/>
      <c r="E59" s="732"/>
      <c r="F59" s="732"/>
      <c r="G59" s="732"/>
      <c r="H59" s="732"/>
      <c r="I59" s="732"/>
      <c r="J59" s="732"/>
      <c r="K59" s="732"/>
      <c r="L59" s="732"/>
      <c r="M59" s="732"/>
      <c r="N59" s="732"/>
      <c r="O59" s="732"/>
      <c r="P59" s="732"/>
      <c r="Q59" s="732"/>
      <c r="R59" s="732"/>
      <c r="T59" s="734" t="s">
        <v>498</v>
      </c>
      <c r="U59" s="732"/>
      <c r="V59" s="732"/>
      <c r="W59" s="732"/>
      <c r="X59" s="732"/>
      <c r="Y59" s="732"/>
      <c r="Z59" s="732"/>
      <c r="AA59" s="732"/>
      <c r="AB59" s="732"/>
      <c r="AC59" s="732"/>
      <c r="AD59" s="732"/>
      <c r="AE59" s="732"/>
      <c r="AF59" s="732"/>
      <c r="AG59" s="732"/>
      <c r="AH59" s="732"/>
      <c r="AI59" s="732"/>
      <c r="AJ59" s="732"/>
      <c r="AK59" s="732"/>
    </row>
    <row r="60" spans="1:39">
      <c r="A60" s="753"/>
      <c r="B60" s="753"/>
      <c r="C60" s="753"/>
      <c r="D60" s="753"/>
      <c r="E60" s="753"/>
      <c r="F60" s="753"/>
      <c r="G60" s="753"/>
      <c r="H60" s="753"/>
      <c r="I60" s="753"/>
      <c r="J60" s="753"/>
      <c r="K60" s="753"/>
      <c r="L60" s="753"/>
      <c r="M60" s="753"/>
      <c r="N60" s="753"/>
      <c r="O60" s="753"/>
      <c r="P60" s="753"/>
      <c r="Q60" s="753"/>
      <c r="R60" s="753"/>
    </row>
  </sheetData>
  <mergeCells count="45">
    <mergeCell ref="A58:S58"/>
    <mergeCell ref="T58:AL58"/>
    <mergeCell ref="A59:R59"/>
    <mergeCell ref="T59:AK59"/>
    <mergeCell ref="A60:R60"/>
    <mergeCell ref="B35:R35"/>
    <mergeCell ref="U35:AK35"/>
    <mergeCell ref="B42:R42"/>
    <mergeCell ref="U42:AK42"/>
    <mergeCell ref="B50:R50"/>
    <mergeCell ref="U50:AK50"/>
    <mergeCell ref="B12:R12"/>
    <mergeCell ref="U12:AK12"/>
    <mergeCell ref="B20:R20"/>
    <mergeCell ref="U20:AK20"/>
    <mergeCell ref="B27:R27"/>
    <mergeCell ref="U27:AK27"/>
    <mergeCell ref="AJ9:AK9"/>
    <mergeCell ref="N9:N10"/>
    <mergeCell ref="O9:O10"/>
    <mergeCell ref="Q9:R9"/>
    <mergeCell ref="U9:U10"/>
    <mergeCell ref="V9:V10"/>
    <mergeCell ref="X9:Y9"/>
    <mergeCell ref="AA9:AA10"/>
    <mergeCell ref="AB9:AB10"/>
    <mergeCell ref="AD9:AE9"/>
    <mergeCell ref="AG9:AG10"/>
    <mergeCell ref="AH9:AH10"/>
    <mergeCell ref="K9:L9"/>
    <mergeCell ref="A5:R5"/>
    <mergeCell ref="T5:AK5"/>
    <mergeCell ref="A8:A10"/>
    <mergeCell ref="B8:F8"/>
    <mergeCell ref="H8:L8"/>
    <mergeCell ref="N8:R8"/>
    <mergeCell ref="T8:T10"/>
    <mergeCell ref="U8:Y8"/>
    <mergeCell ref="AA8:AE8"/>
    <mergeCell ref="AG8:AK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K66"/>
  <sheetViews>
    <sheetView zoomScaleNormal="100" workbookViewId="0">
      <selection activeCell="A4" sqref="A4"/>
    </sheetView>
  </sheetViews>
  <sheetFormatPr defaultColWidth="9.26953125" defaultRowHeight="9"/>
  <cols>
    <col min="1" max="1" width="22.26953125" style="13" customWidth="1"/>
    <col min="2" max="2" width="5.26953125" style="13" customWidth="1"/>
    <col min="3" max="3" width="7.1796875" style="13" customWidth="1"/>
    <col min="4" max="4" width="0.7265625" style="13" customWidth="1"/>
    <col min="5" max="5" width="5.7265625" style="13" customWidth="1"/>
    <col min="6" max="6" width="4.7265625" style="13" customWidth="1"/>
    <col min="7" max="7" width="0.7265625" style="13" customWidth="1"/>
    <col min="8" max="9" width="5.7265625" style="13" customWidth="1"/>
    <col min="10" max="10" width="0.7265625" style="13" customWidth="1"/>
    <col min="11" max="11" width="5.7265625" style="13" customWidth="1"/>
    <col min="12" max="12" width="5.26953125" style="13" customWidth="1"/>
    <col min="13" max="13" width="0.7265625" style="13" customWidth="1"/>
    <col min="14" max="14" width="5.7265625" style="13" customWidth="1"/>
    <col min="15" max="15" width="5.1796875" style="13" customWidth="1"/>
    <col min="16" max="16" width="0.7265625" style="13" customWidth="1"/>
    <col min="17" max="18" width="5.7265625" style="13" customWidth="1"/>
    <col min="19" max="19" width="9.26953125" style="13"/>
    <col min="20" max="20" width="8.453125" style="13" hidden="1" customWidth="1"/>
    <col min="21" max="21" width="5.453125" style="13" hidden="1" customWidth="1"/>
    <col min="22" max="22" width="6" style="13" hidden="1" customWidth="1"/>
    <col min="23" max="23" width="3.453125" style="13" hidden="1" customWidth="1"/>
    <col min="24" max="24" width="7" style="13" hidden="1" customWidth="1"/>
    <col min="25" max="25" width="6.1796875" style="13" hidden="1" customWidth="1"/>
    <col min="26" max="26" width="1.453125" style="13" hidden="1" customWidth="1"/>
    <col min="27" max="27" width="5.7265625" style="13" hidden="1" customWidth="1"/>
    <col min="28" max="28" width="4.81640625" style="13" hidden="1" customWidth="1"/>
    <col min="29" max="29" width="0.81640625" style="13" hidden="1" customWidth="1"/>
    <col min="30" max="30" width="6.1796875" style="13" hidden="1" customWidth="1"/>
    <col min="31" max="31" width="6.54296875" style="13" hidden="1" customWidth="1"/>
    <col min="32" max="32" width="1.26953125" style="13" hidden="1" customWidth="1"/>
    <col min="33" max="33" width="6.54296875" style="13" hidden="1" customWidth="1"/>
    <col min="34" max="34" width="5" style="13" hidden="1" customWidth="1"/>
    <col min="35" max="35" width="1.1796875" style="13" hidden="1" customWidth="1"/>
    <col min="36" max="36" width="9" style="13" hidden="1" customWidth="1"/>
    <col min="37" max="37" width="6.54296875" style="13" hidden="1" customWidth="1"/>
    <col min="38" max="38" width="0" style="13" hidden="1" customWidth="1"/>
    <col min="39" max="16384" width="9.26953125" style="13"/>
  </cols>
  <sheetData>
    <row r="1" spans="1:37" s="41" customFormat="1" ht="12.75" customHeight="1"/>
    <row r="2" spans="1:37" s="41" customFormat="1" ht="12.75" customHeight="1"/>
    <row r="3" spans="1:37" s="41" customFormat="1" ht="9.75" customHeight="1"/>
    <row r="4" spans="1:37" s="44" customFormat="1" ht="12" customHeight="1">
      <c r="A4" s="58" t="s">
        <v>43</v>
      </c>
      <c r="B4" s="43"/>
      <c r="C4" s="43"/>
      <c r="D4" s="43"/>
      <c r="E4" s="43"/>
      <c r="F4" s="43"/>
      <c r="G4" s="43"/>
      <c r="H4" s="43"/>
      <c r="I4" s="43"/>
      <c r="J4" s="43"/>
      <c r="T4" s="58" t="s">
        <v>43</v>
      </c>
      <c r="U4" s="43"/>
      <c r="V4" s="43"/>
      <c r="W4" s="43"/>
      <c r="X4" s="43"/>
      <c r="Y4" s="43"/>
      <c r="Z4" s="43"/>
      <c r="AA4" s="43"/>
      <c r="AB4" s="43"/>
      <c r="AC4" s="43"/>
    </row>
    <row r="5" spans="1:37" s="44" customFormat="1" ht="24.65" customHeight="1">
      <c r="A5" s="707" t="s">
        <v>44</v>
      </c>
      <c r="B5" s="692"/>
      <c r="C5" s="692"/>
      <c r="D5" s="692"/>
      <c r="E5" s="692"/>
      <c r="F5" s="692"/>
      <c r="G5" s="692"/>
      <c r="H5" s="692"/>
      <c r="I5" s="692"/>
      <c r="J5" s="692"/>
      <c r="K5" s="692"/>
      <c r="L5" s="692"/>
      <c r="M5" s="692"/>
      <c r="N5" s="692"/>
      <c r="O5" s="692"/>
      <c r="P5" s="692"/>
      <c r="Q5" s="692"/>
      <c r="R5" s="692"/>
      <c r="T5" s="707" t="s">
        <v>44</v>
      </c>
      <c r="U5" s="692"/>
      <c r="V5" s="692"/>
      <c r="W5" s="692"/>
      <c r="X5" s="692"/>
      <c r="Y5" s="692"/>
      <c r="Z5" s="692"/>
      <c r="AA5" s="692"/>
      <c r="AB5" s="692"/>
      <c r="AC5" s="692"/>
      <c r="AD5" s="692"/>
      <c r="AE5" s="692"/>
      <c r="AF5" s="692"/>
      <c r="AG5" s="692"/>
      <c r="AH5" s="692"/>
      <c r="AI5" s="692"/>
      <c r="AJ5" s="692"/>
      <c r="AK5" s="692"/>
    </row>
    <row r="6" spans="1:37" s="44" customFormat="1" ht="12" customHeight="1">
      <c r="A6" s="47" t="s">
        <v>11</v>
      </c>
      <c r="T6" s="47" t="s">
        <v>32</v>
      </c>
    </row>
    <row r="7" spans="1:37" s="41" customFormat="1" ht="6" customHeight="1">
      <c r="A7" s="45"/>
      <c r="B7" s="46"/>
      <c r="C7" s="46"/>
      <c r="D7" s="46"/>
      <c r="E7" s="46"/>
      <c r="F7" s="46"/>
      <c r="G7" s="46"/>
      <c r="H7" s="46"/>
      <c r="I7" s="46"/>
      <c r="J7" s="46"/>
      <c r="K7" s="46"/>
      <c r="L7" s="46"/>
      <c r="M7" s="46"/>
      <c r="N7" s="46"/>
      <c r="O7" s="46"/>
      <c r="P7" s="46"/>
      <c r="Q7" s="46"/>
      <c r="R7" s="46"/>
      <c r="T7" s="45"/>
      <c r="U7" s="46"/>
      <c r="V7" s="46"/>
      <c r="W7" s="46"/>
      <c r="X7" s="46"/>
      <c r="Y7" s="46"/>
      <c r="Z7" s="46"/>
      <c r="AA7" s="46"/>
      <c r="AB7" s="46"/>
      <c r="AC7" s="46"/>
      <c r="AD7" s="46"/>
      <c r="AE7" s="46"/>
      <c r="AF7" s="46"/>
      <c r="AG7" s="46"/>
      <c r="AH7" s="46"/>
      <c r="AI7" s="46"/>
      <c r="AJ7" s="46"/>
      <c r="AK7" s="46"/>
    </row>
    <row r="8" spans="1:37" ht="12" customHeight="1">
      <c r="A8" s="754" t="s">
        <v>510</v>
      </c>
      <c r="B8" s="736" t="s">
        <v>454</v>
      </c>
      <c r="C8" s="736"/>
      <c r="D8" s="736"/>
      <c r="E8" s="736"/>
      <c r="F8" s="736"/>
      <c r="G8" s="590"/>
      <c r="H8" s="736" t="s">
        <v>434</v>
      </c>
      <c r="I8" s="736"/>
      <c r="J8" s="736"/>
      <c r="K8" s="736"/>
      <c r="L8" s="736"/>
      <c r="M8" s="590"/>
      <c r="N8" s="736" t="s">
        <v>58</v>
      </c>
      <c r="O8" s="736"/>
      <c r="P8" s="736"/>
      <c r="Q8" s="736"/>
      <c r="R8" s="736"/>
      <c r="T8" s="754" t="s">
        <v>510</v>
      </c>
      <c r="U8" s="736" t="s">
        <v>454</v>
      </c>
      <c r="V8" s="736"/>
      <c r="W8" s="736"/>
      <c r="X8" s="736"/>
      <c r="Y8" s="736"/>
      <c r="Z8" s="590"/>
      <c r="AA8" s="736" t="s">
        <v>434</v>
      </c>
      <c r="AB8" s="736"/>
      <c r="AC8" s="736"/>
      <c r="AD8" s="736"/>
      <c r="AE8" s="736"/>
      <c r="AF8" s="590"/>
      <c r="AG8" s="736" t="s">
        <v>58</v>
      </c>
      <c r="AH8" s="736"/>
      <c r="AI8" s="736"/>
      <c r="AJ8" s="736"/>
      <c r="AK8" s="736"/>
    </row>
    <row r="9" spans="1:37" ht="12" customHeight="1">
      <c r="A9" s="742"/>
      <c r="B9" s="737" t="s">
        <v>124</v>
      </c>
      <c r="C9" s="737" t="s">
        <v>363</v>
      </c>
      <c r="D9" s="14"/>
      <c r="E9" s="736" t="s">
        <v>455</v>
      </c>
      <c r="F9" s="736"/>
      <c r="G9" s="14"/>
      <c r="H9" s="737" t="s">
        <v>124</v>
      </c>
      <c r="I9" s="737" t="s">
        <v>363</v>
      </c>
      <c r="J9" s="14"/>
      <c r="K9" s="736" t="s">
        <v>455</v>
      </c>
      <c r="L9" s="736"/>
      <c r="M9" s="14"/>
      <c r="N9" s="737" t="s">
        <v>124</v>
      </c>
      <c r="O9" s="737" t="s">
        <v>363</v>
      </c>
      <c r="P9" s="14"/>
      <c r="Q9" s="736" t="s">
        <v>455</v>
      </c>
      <c r="R9" s="736"/>
      <c r="T9" s="742"/>
      <c r="U9" s="737" t="s">
        <v>124</v>
      </c>
      <c r="V9" s="737" t="s">
        <v>363</v>
      </c>
      <c r="W9" s="14"/>
      <c r="X9" s="736" t="s">
        <v>455</v>
      </c>
      <c r="Y9" s="736"/>
      <c r="Z9" s="14"/>
      <c r="AA9" s="737" t="s">
        <v>124</v>
      </c>
      <c r="AB9" s="737" t="s">
        <v>363</v>
      </c>
      <c r="AC9" s="14"/>
      <c r="AD9" s="736" t="s">
        <v>455</v>
      </c>
      <c r="AE9" s="736"/>
      <c r="AF9" s="14"/>
      <c r="AG9" s="737" t="s">
        <v>124</v>
      </c>
      <c r="AH9" s="737" t="s">
        <v>363</v>
      </c>
      <c r="AI9" s="14"/>
      <c r="AJ9" s="736" t="s">
        <v>455</v>
      </c>
      <c r="AK9" s="736"/>
    </row>
    <row r="10" spans="1:37" ht="12" customHeight="1">
      <c r="A10" s="743"/>
      <c r="B10" s="738"/>
      <c r="C10" s="738"/>
      <c r="D10" s="15"/>
      <c r="E10" s="271" t="s">
        <v>58</v>
      </c>
      <c r="F10" s="271" t="s">
        <v>363</v>
      </c>
      <c r="G10" s="15"/>
      <c r="H10" s="738"/>
      <c r="I10" s="738"/>
      <c r="J10" s="15"/>
      <c r="K10" s="271" t="s">
        <v>58</v>
      </c>
      <c r="L10" s="271" t="s">
        <v>363</v>
      </c>
      <c r="M10" s="15"/>
      <c r="N10" s="738"/>
      <c r="O10" s="738"/>
      <c r="P10" s="15"/>
      <c r="Q10" s="271" t="s">
        <v>58</v>
      </c>
      <c r="R10" s="271" t="s">
        <v>363</v>
      </c>
      <c r="T10" s="743"/>
      <c r="U10" s="738"/>
      <c r="V10" s="738"/>
      <c r="W10" s="15"/>
      <c r="X10" s="271" t="s">
        <v>58</v>
      </c>
      <c r="Y10" s="271" t="s">
        <v>363</v>
      </c>
      <c r="Z10" s="15"/>
      <c r="AA10" s="738"/>
      <c r="AB10" s="738"/>
      <c r="AC10" s="15"/>
      <c r="AD10" s="271" t="s">
        <v>58</v>
      </c>
      <c r="AE10" s="271" t="s">
        <v>363</v>
      </c>
      <c r="AF10" s="15"/>
      <c r="AG10" s="738"/>
      <c r="AH10" s="738"/>
      <c r="AI10" s="15"/>
      <c r="AJ10" s="271" t="s">
        <v>58</v>
      </c>
      <c r="AK10" s="271" t="s">
        <v>363</v>
      </c>
    </row>
    <row r="11" spans="1:37" ht="3" customHeight="1">
      <c r="A11" s="16"/>
      <c r="B11" s="17"/>
      <c r="C11" s="17"/>
      <c r="D11" s="17"/>
      <c r="E11" s="17"/>
      <c r="F11" s="17"/>
      <c r="G11" s="17"/>
      <c r="H11" s="17"/>
      <c r="I11" s="17"/>
      <c r="J11" s="17"/>
      <c r="K11" s="17"/>
      <c r="L11" s="17"/>
      <c r="M11" s="17"/>
      <c r="N11" s="17"/>
      <c r="O11" s="17"/>
      <c r="P11" s="17"/>
      <c r="Q11" s="17"/>
      <c r="R11" s="17"/>
      <c r="T11" s="16"/>
      <c r="U11" s="17"/>
      <c r="V11" s="17"/>
      <c r="W11" s="17"/>
      <c r="X11" s="17"/>
      <c r="Y11" s="17"/>
      <c r="Z11" s="17"/>
      <c r="AA11" s="17"/>
      <c r="AB11" s="17"/>
      <c r="AC11" s="17"/>
      <c r="AD11" s="17"/>
      <c r="AE11" s="17"/>
      <c r="AF11" s="17"/>
      <c r="AG11" s="17"/>
      <c r="AH11" s="17"/>
      <c r="AI11" s="17"/>
      <c r="AJ11" s="17"/>
      <c r="AK11" s="17"/>
    </row>
    <row r="12" spans="1:37" ht="10.15" customHeight="1">
      <c r="A12" s="23"/>
      <c r="B12" s="752" t="s">
        <v>503</v>
      </c>
      <c r="C12" s="752"/>
      <c r="D12" s="752"/>
      <c r="E12" s="752"/>
      <c r="F12" s="752"/>
      <c r="G12" s="752"/>
      <c r="H12" s="752"/>
      <c r="I12" s="752"/>
      <c r="J12" s="752"/>
      <c r="K12" s="752"/>
      <c r="L12" s="752"/>
      <c r="M12" s="752"/>
      <c r="N12" s="752"/>
      <c r="O12" s="752"/>
      <c r="P12" s="752"/>
      <c r="Q12" s="752"/>
      <c r="R12" s="752"/>
      <c r="T12" s="23"/>
      <c r="U12" s="752" t="s">
        <v>503</v>
      </c>
      <c r="V12" s="752"/>
      <c r="W12" s="752"/>
      <c r="X12" s="752"/>
      <c r="Y12" s="752"/>
      <c r="Z12" s="752"/>
      <c r="AA12" s="752"/>
      <c r="AB12" s="752"/>
      <c r="AC12" s="752"/>
      <c r="AD12" s="752"/>
      <c r="AE12" s="752"/>
      <c r="AF12" s="752"/>
      <c r="AG12" s="752"/>
      <c r="AH12" s="752"/>
      <c r="AI12" s="752"/>
      <c r="AJ12" s="752"/>
      <c r="AK12" s="752"/>
    </row>
    <row r="13" spans="1:37" ht="3" customHeight="1">
      <c r="A13" s="16"/>
      <c r="B13" s="17"/>
      <c r="C13" s="17"/>
      <c r="D13" s="17"/>
      <c r="E13" s="17"/>
      <c r="F13" s="17"/>
      <c r="G13" s="17"/>
      <c r="H13" s="17"/>
      <c r="I13" s="17"/>
      <c r="J13" s="17"/>
      <c r="K13" s="17"/>
      <c r="L13" s="17"/>
      <c r="M13" s="17"/>
      <c r="N13" s="17"/>
      <c r="O13" s="17"/>
      <c r="P13" s="17"/>
      <c r="Q13" s="17"/>
      <c r="R13" s="17"/>
      <c r="T13" s="16"/>
      <c r="U13" s="17"/>
      <c r="V13" s="17"/>
      <c r="W13" s="17"/>
      <c r="X13" s="17"/>
      <c r="Y13" s="17"/>
      <c r="Z13" s="17"/>
      <c r="AA13" s="17"/>
      <c r="AB13" s="17"/>
      <c r="AC13" s="17"/>
      <c r="AD13" s="17"/>
      <c r="AE13" s="17"/>
      <c r="AF13" s="17"/>
      <c r="AG13" s="17"/>
      <c r="AH13" s="17"/>
      <c r="AI13" s="17"/>
      <c r="AJ13" s="17"/>
      <c r="AK13" s="17"/>
    </row>
    <row r="14" spans="1:37" s="8" customFormat="1" ht="10.15" customHeight="1">
      <c r="A14" s="12" t="s">
        <v>442</v>
      </c>
      <c r="B14" s="30">
        <v>342</v>
      </c>
      <c r="C14" s="1">
        <v>57.095158597662774</v>
      </c>
      <c r="D14" s="30"/>
      <c r="E14" s="30">
        <v>20</v>
      </c>
      <c r="F14" s="1">
        <v>5.8479532163742682</v>
      </c>
      <c r="G14" s="30"/>
      <c r="H14" s="30">
        <v>257</v>
      </c>
      <c r="I14" s="1">
        <v>42.904841402337226</v>
      </c>
      <c r="J14" s="30"/>
      <c r="K14" s="30">
        <v>44</v>
      </c>
      <c r="L14" s="1">
        <v>17.120622568093385</v>
      </c>
      <c r="M14" s="30"/>
      <c r="N14" s="30">
        <v>599</v>
      </c>
      <c r="O14" s="24">
        <v>100</v>
      </c>
      <c r="P14" s="30"/>
      <c r="Q14" s="30">
        <v>64</v>
      </c>
      <c r="R14" s="1">
        <v>10.684474123539232</v>
      </c>
      <c r="T14" s="12" t="s">
        <v>444</v>
      </c>
      <c r="U14" s="30">
        <v>533</v>
      </c>
      <c r="V14" s="1">
        <v>57.997823721436347</v>
      </c>
      <c r="W14" s="30"/>
      <c r="X14" s="30">
        <v>32</v>
      </c>
      <c r="Y14" s="1">
        <v>6.0037523452157595</v>
      </c>
      <c r="Z14" s="30"/>
      <c r="AA14" s="30">
        <v>386</v>
      </c>
      <c r="AB14" s="1">
        <v>42.00217627856366</v>
      </c>
      <c r="AC14" s="30"/>
      <c r="AD14" s="30">
        <v>82</v>
      </c>
      <c r="AE14" s="1">
        <v>21.243523316062177</v>
      </c>
      <c r="AF14" s="30"/>
      <c r="AG14" s="30">
        <v>919</v>
      </c>
      <c r="AH14" s="24">
        <v>100</v>
      </c>
      <c r="AI14" s="30"/>
      <c r="AJ14" s="30">
        <v>114</v>
      </c>
      <c r="AK14" s="1">
        <v>12.404787812840043</v>
      </c>
    </row>
    <row r="15" spans="1:37" s="8" customFormat="1" ht="10.15" customHeight="1">
      <c r="A15" s="12" t="s">
        <v>443</v>
      </c>
      <c r="B15" s="30">
        <v>338</v>
      </c>
      <c r="C15" s="1">
        <v>58.275862068965523</v>
      </c>
      <c r="D15" s="30"/>
      <c r="E15" s="30">
        <v>19</v>
      </c>
      <c r="F15" s="1">
        <v>5.6213017751479288</v>
      </c>
      <c r="G15" s="30"/>
      <c r="H15" s="30">
        <v>242</v>
      </c>
      <c r="I15" s="1">
        <v>41.724137931034484</v>
      </c>
      <c r="J15" s="30"/>
      <c r="K15" s="30">
        <v>23</v>
      </c>
      <c r="L15" s="1">
        <v>9.5041322314049594</v>
      </c>
      <c r="M15" s="30"/>
      <c r="N15" s="30">
        <v>580</v>
      </c>
      <c r="O15" s="24">
        <v>100</v>
      </c>
      <c r="P15" s="30"/>
      <c r="Q15" s="30">
        <v>42</v>
      </c>
      <c r="R15" s="1">
        <v>7.2413793103448283</v>
      </c>
      <c r="T15" s="12" t="s">
        <v>442</v>
      </c>
      <c r="U15" s="30">
        <v>342</v>
      </c>
      <c r="V15" s="1">
        <v>57.095158597662774</v>
      </c>
      <c r="W15" s="30"/>
      <c r="X15" s="30">
        <v>20</v>
      </c>
      <c r="Y15" s="1">
        <v>5.8479532163742682</v>
      </c>
      <c r="Z15" s="30"/>
      <c r="AA15" s="30">
        <v>257</v>
      </c>
      <c r="AB15" s="1">
        <v>42.904841402337226</v>
      </c>
      <c r="AC15" s="30"/>
      <c r="AD15" s="30">
        <v>44</v>
      </c>
      <c r="AE15" s="1">
        <v>17.120622568093385</v>
      </c>
      <c r="AF15" s="30"/>
      <c r="AG15" s="30">
        <v>599</v>
      </c>
      <c r="AH15" s="24">
        <v>100</v>
      </c>
      <c r="AI15" s="30"/>
      <c r="AJ15" s="30">
        <v>64</v>
      </c>
      <c r="AK15" s="1">
        <v>10.684474123539232</v>
      </c>
    </row>
    <row r="16" spans="1:37" s="8" customFormat="1" ht="10.15" customHeight="1">
      <c r="A16" s="12" t="s">
        <v>445</v>
      </c>
      <c r="B16" s="30">
        <v>383</v>
      </c>
      <c r="C16" s="1">
        <v>51.409395973154361</v>
      </c>
      <c r="D16" s="30"/>
      <c r="E16" s="30">
        <v>20</v>
      </c>
      <c r="F16" s="1">
        <v>5.221932114882506</v>
      </c>
      <c r="G16" s="30"/>
      <c r="H16" s="30">
        <v>362</v>
      </c>
      <c r="I16" s="1">
        <v>48.590604026845632</v>
      </c>
      <c r="J16" s="30"/>
      <c r="K16" s="30">
        <v>35</v>
      </c>
      <c r="L16" s="1">
        <v>9.6685082872928181</v>
      </c>
      <c r="M16" s="30"/>
      <c r="N16" s="30">
        <v>745</v>
      </c>
      <c r="O16" s="1">
        <v>100</v>
      </c>
      <c r="P16" s="30"/>
      <c r="Q16" s="30">
        <v>55</v>
      </c>
      <c r="R16" s="1">
        <v>7.3825503355704702</v>
      </c>
      <c r="T16" s="12" t="s">
        <v>443</v>
      </c>
      <c r="U16" s="30">
        <v>338</v>
      </c>
      <c r="V16" s="1">
        <v>58.275862068965523</v>
      </c>
      <c r="W16" s="30"/>
      <c r="X16" s="30">
        <v>19</v>
      </c>
      <c r="Y16" s="1">
        <v>5.6213017751479288</v>
      </c>
      <c r="Z16" s="30"/>
      <c r="AA16" s="30">
        <v>242</v>
      </c>
      <c r="AB16" s="1">
        <v>41.724137931034484</v>
      </c>
      <c r="AC16" s="30"/>
      <c r="AD16" s="30">
        <v>23</v>
      </c>
      <c r="AE16" s="1">
        <v>9.5041322314049594</v>
      </c>
      <c r="AF16" s="30"/>
      <c r="AG16" s="30">
        <v>580</v>
      </c>
      <c r="AH16" s="24">
        <v>100</v>
      </c>
      <c r="AI16" s="30"/>
      <c r="AJ16" s="30">
        <v>42</v>
      </c>
      <c r="AK16" s="1">
        <v>7.2413793103448283</v>
      </c>
    </row>
    <row r="17" spans="1:37" s="8" customFormat="1" ht="10.15" customHeight="1">
      <c r="A17" s="12" t="s">
        <v>446</v>
      </c>
      <c r="B17" s="278">
        <v>446</v>
      </c>
      <c r="C17" s="1">
        <v>52.3</v>
      </c>
      <c r="D17" s="278"/>
      <c r="E17" s="278">
        <v>23</v>
      </c>
      <c r="F17" s="1">
        <v>5.2</v>
      </c>
      <c r="G17" s="278"/>
      <c r="H17" s="278">
        <v>406</v>
      </c>
      <c r="I17" s="1">
        <v>47.7</v>
      </c>
      <c r="J17" s="278"/>
      <c r="K17" s="278">
        <v>22</v>
      </c>
      <c r="L17" s="1">
        <v>5.4</v>
      </c>
      <c r="M17" s="278"/>
      <c r="N17" s="278">
        <v>852</v>
      </c>
      <c r="O17" s="1">
        <v>100</v>
      </c>
      <c r="P17" s="278"/>
      <c r="Q17" s="278">
        <v>45</v>
      </c>
      <c r="R17" s="1">
        <v>5.3</v>
      </c>
      <c r="T17" s="12" t="s">
        <v>445</v>
      </c>
      <c r="U17" s="30">
        <v>383</v>
      </c>
      <c r="V17" s="1">
        <v>51.409395973154361</v>
      </c>
      <c r="W17" s="30"/>
      <c r="X17" s="30">
        <v>20</v>
      </c>
      <c r="Y17" s="1">
        <v>5.221932114882506</v>
      </c>
      <c r="Z17" s="30"/>
      <c r="AA17" s="30">
        <v>362</v>
      </c>
      <c r="AB17" s="1">
        <v>48.590604026845632</v>
      </c>
      <c r="AC17" s="30"/>
      <c r="AD17" s="30">
        <v>35</v>
      </c>
      <c r="AE17" s="1">
        <v>9.6685082872928181</v>
      </c>
      <c r="AF17" s="30"/>
      <c r="AG17" s="30">
        <v>745</v>
      </c>
      <c r="AH17" s="1">
        <v>100</v>
      </c>
      <c r="AI17" s="30"/>
      <c r="AJ17" s="30">
        <v>55</v>
      </c>
      <c r="AK17" s="1">
        <v>7.3825503355704702</v>
      </c>
    </row>
    <row r="18" spans="1:37" s="8" customFormat="1" ht="10.15" customHeight="1">
      <c r="A18" s="12" t="s">
        <v>504</v>
      </c>
      <c r="B18" s="278">
        <v>617</v>
      </c>
      <c r="C18" s="1">
        <v>53.93356643356644</v>
      </c>
      <c r="D18" s="278"/>
      <c r="E18" s="278">
        <v>40</v>
      </c>
      <c r="F18" s="1">
        <v>6.4829821717990272</v>
      </c>
      <c r="G18" s="278"/>
      <c r="H18" s="278">
        <v>527</v>
      </c>
      <c r="I18" s="1">
        <v>46.066433566433567</v>
      </c>
      <c r="J18" s="278"/>
      <c r="K18" s="278">
        <v>41</v>
      </c>
      <c r="L18" s="1">
        <v>7.7798861480075905</v>
      </c>
      <c r="M18" s="278"/>
      <c r="N18" s="278">
        <v>1144</v>
      </c>
      <c r="O18" s="1">
        <v>100</v>
      </c>
      <c r="P18" s="278"/>
      <c r="Q18" s="278">
        <v>81</v>
      </c>
      <c r="R18" s="1">
        <v>7.0804195804195809</v>
      </c>
      <c r="T18" s="12" t="s">
        <v>446</v>
      </c>
      <c r="U18" s="278">
        <v>446</v>
      </c>
      <c r="V18" s="1">
        <v>52.3</v>
      </c>
      <c r="W18" s="278"/>
      <c r="X18" s="278">
        <v>23</v>
      </c>
      <c r="Y18" s="1">
        <v>5.2</v>
      </c>
      <c r="Z18" s="278"/>
      <c r="AA18" s="278">
        <v>406</v>
      </c>
      <c r="AB18" s="1">
        <v>47.7</v>
      </c>
      <c r="AC18" s="278"/>
      <c r="AD18" s="278">
        <v>22</v>
      </c>
      <c r="AE18" s="1">
        <v>5.4</v>
      </c>
      <c r="AF18" s="278"/>
      <c r="AG18" s="278">
        <v>852</v>
      </c>
      <c r="AH18" s="1">
        <v>100</v>
      </c>
      <c r="AI18" s="278"/>
      <c r="AJ18" s="278">
        <v>45</v>
      </c>
      <c r="AK18" s="1">
        <v>5.3</v>
      </c>
    </row>
    <row r="19" spans="1:37" ht="3" customHeight="1">
      <c r="A19" s="16"/>
      <c r="B19" s="17"/>
      <c r="C19" s="17"/>
      <c r="D19" s="17"/>
      <c r="E19" s="17"/>
      <c r="F19" s="17"/>
      <c r="G19" s="17"/>
      <c r="H19" s="17"/>
      <c r="I19" s="17"/>
      <c r="J19" s="17"/>
      <c r="K19" s="17"/>
      <c r="L19" s="17"/>
      <c r="M19" s="17"/>
      <c r="N19" s="17"/>
      <c r="O19" s="17"/>
      <c r="P19" s="17"/>
      <c r="Q19" s="17"/>
      <c r="R19" s="17"/>
      <c r="T19" s="16"/>
      <c r="U19" s="17"/>
      <c r="V19" s="17"/>
      <c r="W19" s="17"/>
      <c r="X19" s="17"/>
      <c r="Y19" s="17"/>
      <c r="Z19" s="17"/>
      <c r="AA19" s="17"/>
      <c r="AB19" s="17"/>
      <c r="AC19" s="17"/>
      <c r="AD19" s="17"/>
      <c r="AE19" s="17"/>
      <c r="AF19" s="17"/>
      <c r="AG19" s="17"/>
      <c r="AH19" s="17"/>
      <c r="AI19" s="17"/>
      <c r="AJ19" s="17"/>
      <c r="AK19" s="17"/>
    </row>
    <row r="20" spans="1:37" s="10" customFormat="1" ht="10.15" customHeight="1">
      <c r="A20" s="9"/>
      <c r="B20" s="755" t="s">
        <v>511</v>
      </c>
      <c r="C20" s="755"/>
      <c r="D20" s="755"/>
      <c r="E20" s="755"/>
      <c r="F20" s="755"/>
      <c r="G20" s="755"/>
      <c r="H20" s="755"/>
      <c r="I20" s="755"/>
      <c r="J20" s="755"/>
      <c r="K20" s="755"/>
      <c r="L20" s="755"/>
      <c r="M20" s="755"/>
      <c r="N20" s="755"/>
      <c r="O20" s="755"/>
      <c r="P20" s="755"/>
      <c r="Q20" s="755"/>
      <c r="R20" s="755"/>
      <c r="T20" s="9"/>
      <c r="U20" s="755" t="s">
        <v>512</v>
      </c>
      <c r="V20" s="755"/>
      <c r="W20" s="755"/>
      <c r="X20" s="755"/>
      <c r="Y20" s="755"/>
      <c r="Z20" s="755"/>
      <c r="AA20" s="755"/>
      <c r="AB20" s="755"/>
      <c r="AC20" s="755"/>
      <c r="AD20" s="755"/>
      <c r="AE20" s="755"/>
      <c r="AF20" s="755"/>
      <c r="AG20" s="755"/>
      <c r="AH20" s="755"/>
      <c r="AI20" s="755"/>
      <c r="AJ20" s="755"/>
      <c r="AK20" s="755"/>
    </row>
    <row r="21" spans="1:37" ht="3" customHeight="1">
      <c r="A21" s="16"/>
      <c r="B21" s="17"/>
      <c r="C21" s="17"/>
      <c r="D21" s="17"/>
      <c r="E21" s="17"/>
      <c r="F21" s="17"/>
      <c r="G21" s="17"/>
      <c r="H21" s="17"/>
      <c r="I21" s="17"/>
      <c r="J21" s="17"/>
      <c r="K21" s="17"/>
      <c r="L21" s="17"/>
      <c r="M21" s="17"/>
      <c r="N21" s="17"/>
      <c r="O21" s="17"/>
      <c r="P21" s="17"/>
      <c r="Q21" s="17"/>
      <c r="R21" s="17"/>
      <c r="T21" s="16"/>
      <c r="U21" s="17"/>
      <c r="V21" s="17"/>
      <c r="W21" s="17"/>
      <c r="X21" s="17"/>
      <c r="Y21" s="17"/>
      <c r="Z21" s="17"/>
      <c r="AA21" s="17"/>
      <c r="AB21" s="17"/>
      <c r="AC21" s="17"/>
      <c r="AD21" s="17"/>
      <c r="AE21" s="17"/>
      <c r="AF21" s="17"/>
      <c r="AG21" s="17"/>
      <c r="AH21" s="17"/>
      <c r="AI21" s="17"/>
      <c r="AJ21" s="17"/>
      <c r="AK21" s="17"/>
    </row>
    <row r="22" spans="1:37" ht="10.15" customHeight="1">
      <c r="A22" s="31" t="s">
        <v>513</v>
      </c>
      <c r="B22" s="3">
        <v>564</v>
      </c>
      <c r="C22" s="1">
        <v>54.970760233918128</v>
      </c>
      <c r="D22" s="3"/>
      <c r="E22" s="3">
        <v>38</v>
      </c>
      <c r="F22" s="1">
        <v>6.7375886524822697</v>
      </c>
      <c r="G22" s="3"/>
      <c r="H22" s="3">
        <v>462</v>
      </c>
      <c r="I22" s="1">
        <v>45.029239766081872</v>
      </c>
      <c r="J22" s="3"/>
      <c r="K22" s="3">
        <v>38</v>
      </c>
      <c r="L22" s="1">
        <v>8.2251082251082259</v>
      </c>
      <c r="M22" s="3"/>
      <c r="N22" s="3">
        <v>1026</v>
      </c>
      <c r="O22" s="1">
        <v>100</v>
      </c>
      <c r="P22" s="3"/>
      <c r="Q22" s="3">
        <v>76</v>
      </c>
      <c r="R22" s="1">
        <v>7.4074074074074066</v>
      </c>
      <c r="T22" s="31" t="s">
        <v>513</v>
      </c>
      <c r="U22" s="3">
        <v>410</v>
      </c>
      <c r="V22" s="1">
        <v>53.876478318002633</v>
      </c>
      <c r="W22" s="3"/>
      <c r="X22" s="3">
        <v>20</v>
      </c>
      <c r="Y22" s="1">
        <v>4.8780487804878048</v>
      </c>
      <c r="Z22" s="3"/>
      <c r="AA22" s="3">
        <v>351</v>
      </c>
      <c r="AB22" s="1">
        <v>46.123521681997367</v>
      </c>
      <c r="AC22" s="3"/>
      <c r="AD22" s="3">
        <v>22</v>
      </c>
      <c r="AE22" s="1">
        <v>6.267806267806268</v>
      </c>
      <c r="AF22" s="3"/>
      <c r="AG22" s="3">
        <v>761</v>
      </c>
      <c r="AH22" s="1">
        <v>100</v>
      </c>
      <c r="AI22" s="3"/>
      <c r="AJ22" s="3">
        <v>42</v>
      </c>
      <c r="AK22" s="1">
        <v>5.5190538764783179</v>
      </c>
    </row>
    <row r="23" spans="1:37" ht="10.15" customHeight="1">
      <c r="A23" s="13" t="s">
        <v>514</v>
      </c>
      <c r="B23" s="3">
        <v>43</v>
      </c>
      <c r="C23" s="1">
        <v>43.877551020408163</v>
      </c>
      <c r="D23" s="3"/>
      <c r="E23" s="3">
        <v>1</v>
      </c>
      <c r="F23" s="1">
        <v>2.3255813953488373</v>
      </c>
      <c r="G23" s="3"/>
      <c r="H23" s="3">
        <v>55</v>
      </c>
      <c r="I23" s="1">
        <v>56.12244897959183</v>
      </c>
      <c r="J23" s="3"/>
      <c r="K23" s="3">
        <v>2</v>
      </c>
      <c r="L23" s="1">
        <v>3.6363636363636362</v>
      </c>
      <c r="M23" s="3"/>
      <c r="N23" s="3">
        <v>98</v>
      </c>
      <c r="O23" s="1">
        <v>100</v>
      </c>
      <c r="P23" s="3"/>
      <c r="Q23" s="3">
        <v>3</v>
      </c>
      <c r="R23" s="1">
        <v>3.0612244897959182</v>
      </c>
      <c r="T23" s="13" t="s">
        <v>514</v>
      </c>
      <c r="U23" s="3">
        <v>27</v>
      </c>
      <c r="V23" s="1">
        <v>37.5</v>
      </c>
      <c r="W23" s="3"/>
      <c r="X23" s="3">
        <v>3</v>
      </c>
      <c r="Y23" s="1">
        <v>11.111111111111111</v>
      </c>
      <c r="Z23" s="3"/>
      <c r="AA23" s="3">
        <v>45</v>
      </c>
      <c r="AB23" s="1">
        <v>62.5</v>
      </c>
      <c r="AC23" s="3"/>
      <c r="AD23" s="3">
        <v>0</v>
      </c>
      <c r="AE23" s="1">
        <v>0</v>
      </c>
      <c r="AF23" s="3"/>
      <c r="AG23" s="3">
        <v>72</v>
      </c>
      <c r="AH23" s="1">
        <v>100</v>
      </c>
      <c r="AI23" s="3"/>
      <c r="AJ23" s="3">
        <v>3</v>
      </c>
      <c r="AK23" s="1">
        <v>4.1666666666666661</v>
      </c>
    </row>
    <row r="24" spans="1:37" ht="20.149999999999999" customHeight="1">
      <c r="A24" s="32" t="s">
        <v>515</v>
      </c>
      <c r="B24" s="3">
        <v>7</v>
      </c>
      <c r="C24" s="1">
        <v>43.75</v>
      </c>
      <c r="D24" s="3"/>
      <c r="E24" s="3">
        <v>1</v>
      </c>
      <c r="F24" s="1">
        <v>14.285714285714285</v>
      </c>
      <c r="G24" s="3"/>
      <c r="H24" s="3">
        <v>9</v>
      </c>
      <c r="I24" s="1">
        <v>56.25</v>
      </c>
      <c r="J24" s="3"/>
      <c r="K24" s="3">
        <v>1</v>
      </c>
      <c r="L24" s="1">
        <v>11.111111111111111</v>
      </c>
      <c r="M24" s="3"/>
      <c r="N24" s="3">
        <v>16</v>
      </c>
      <c r="O24" s="1">
        <v>100</v>
      </c>
      <c r="P24" s="3"/>
      <c r="Q24" s="3">
        <v>2</v>
      </c>
      <c r="R24" s="1">
        <v>12.5</v>
      </c>
      <c r="T24" s="32" t="s">
        <v>515</v>
      </c>
      <c r="U24" s="3">
        <v>9</v>
      </c>
      <c r="V24" s="1">
        <v>50</v>
      </c>
      <c r="W24" s="3"/>
      <c r="X24" s="3">
        <v>0</v>
      </c>
      <c r="Y24" s="1">
        <v>0</v>
      </c>
      <c r="Z24" s="3"/>
      <c r="AA24" s="3">
        <v>9</v>
      </c>
      <c r="AB24" s="1">
        <v>50</v>
      </c>
      <c r="AC24" s="3"/>
      <c r="AD24" s="3">
        <v>0</v>
      </c>
      <c r="AE24" s="1">
        <v>0</v>
      </c>
      <c r="AF24" s="3"/>
      <c r="AG24" s="3">
        <v>18</v>
      </c>
      <c r="AH24" s="1">
        <v>100</v>
      </c>
      <c r="AI24" s="3"/>
      <c r="AJ24" s="3">
        <v>0</v>
      </c>
      <c r="AK24" s="1">
        <v>0</v>
      </c>
    </row>
    <row r="25" spans="1:37" ht="20.149999999999999" customHeight="1">
      <c r="A25" s="32" t="s">
        <v>516</v>
      </c>
      <c r="B25" s="3">
        <v>3</v>
      </c>
      <c r="C25" s="1">
        <v>75</v>
      </c>
      <c r="D25" s="3"/>
      <c r="E25" s="3">
        <v>0</v>
      </c>
      <c r="F25" s="1">
        <v>0</v>
      </c>
      <c r="G25" s="3"/>
      <c r="H25" s="3">
        <v>1</v>
      </c>
      <c r="I25" s="1">
        <v>25</v>
      </c>
      <c r="J25" s="3"/>
      <c r="K25" s="3">
        <v>0</v>
      </c>
      <c r="L25" s="1">
        <v>0</v>
      </c>
      <c r="M25" s="3"/>
      <c r="N25" s="3">
        <v>4</v>
      </c>
      <c r="O25" s="1">
        <v>100</v>
      </c>
      <c r="P25" s="3"/>
      <c r="Q25" s="3">
        <v>0</v>
      </c>
      <c r="R25" s="1">
        <v>0</v>
      </c>
      <c r="T25" s="32" t="s">
        <v>516</v>
      </c>
      <c r="U25" s="3">
        <v>0</v>
      </c>
      <c r="V25" s="1">
        <v>0</v>
      </c>
      <c r="W25" s="3"/>
      <c r="X25" s="3">
        <v>0</v>
      </c>
      <c r="Y25" s="1" t="s">
        <v>228</v>
      </c>
      <c r="Z25" s="3"/>
      <c r="AA25" s="3">
        <v>1</v>
      </c>
      <c r="AB25" s="1">
        <v>100</v>
      </c>
      <c r="AC25" s="3"/>
      <c r="AD25" s="3">
        <v>0</v>
      </c>
      <c r="AE25" s="1">
        <v>0</v>
      </c>
      <c r="AF25" s="3"/>
      <c r="AG25" s="3">
        <v>1</v>
      </c>
      <c r="AH25" s="1">
        <v>100</v>
      </c>
      <c r="AI25" s="3"/>
      <c r="AJ25" s="3">
        <v>0</v>
      </c>
      <c r="AK25" s="1">
        <v>0</v>
      </c>
    </row>
    <row r="26" spans="1:37" ht="10.15" customHeight="1">
      <c r="A26" s="16" t="s">
        <v>58</v>
      </c>
      <c r="B26" s="5">
        <v>617</v>
      </c>
      <c r="C26" s="6">
        <v>53.93356643356644</v>
      </c>
      <c r="D26" s="5"/>
      <c r="E26" s="5">
        <v>40</v>
      </c>
      <c r="F26" s="6">
        <v>6.4829821717990272</v>
      </c>
      <c r="G26" s="5"/>
      <c r="H26" s="5">
        <v>527</v>
      </c>
      <c r="I26" s="6">
        <v>46.066433566433567</v>
      </c>
      <c r="J26" s="5"/>
      <c r="K26" s="5">
        <v>41</v>
      </c>
      <c r="L26" s="6">
        <v>7.7798861480075905</v>
      </c>
      <c r="M26" s="5"/>
      <c r="N26" s="5">
        <v>1144</v>
      </c>
      <c r="O26" s="6">
        <v>100</v>
      </c>
      <c r="P26" s="5"/>
      <c r="Q26" s="5">
        <v>81</v>
      </c>
      <c r="R26" s="6">
        <v>7.0804195804195809</v>
      </c>
      <c r="T26" s="16" t="s">
        <v>58</v>
      </c>
      <c r="U26" s="5">
        <v>446</v>
      </c>
      <c r="V26" s="6">
        <v>52.347417840375584</v>
      </c>
      <c r="W26" s="5"/>
      <c r="X26" s="5">
        <v>23</v>
      </c>
      <c r="Y26" s="6">
        <v>5.1569506726457401</v>
      </c>
      <c r="Z26" s="5"/>
      <c r="AA26" s="5">
        <v>406</v>
      </c>
      <c r="AB26" s="6">
        <v>47.652582159624416</v>
      </c>
      <c r="AC26" s="5"/>
      <c r="AD26" s="5">
        <v>22</v>
      </c>
      <c r="AE26" s="6">
        <v>5.4187192118226601</v>
      </c>
      <c r="AF26" s="5"/>
      <c r="AG26" s="5">
        <v>852</v>
      </c>
      <c r="AH26" s="6">
        <v>100</v>
      </c>
      <c r="AI26" s="5"/>
      <c r="AJ26" s="5">
        <v>45</v>
      </c>
      <c r="AK26" s="6">
        <v>5.28169014084507</v>
      </c>
    </row>
    <row r="27" spans="1:37" ht="3" customHeight="1">
      <c r="A27" s="16"/>
      <c r="B27" s="5"/>
      <c r="C27" s="5"/>
      <c r="D27" s="5"/>
      <c r="E27" s="5"/>
      <c r="F27" s="5"/>
      <c r="G27" s="5"/>
      <c r="H27" s="5"/>
      <c r="I27" s="5"/>
      <c r="J27" s="5"/>
      <c r="K27" s="5"/>
      <c r="L27" s="5"/>
      <c r="M27" s="5"/>
      <c r="N27" s="5"/>
      <c r="O27" s="5"/>
      <c r="P27" s="5"/>
      <c r="Q27" s="5"/>
      <c r="R27" s="5"/>
      <c r="T27" s="16"/>
      <c r="U27" s="5"/>
      <c r="V27" s="5"/>
      <c r="W27" s="5"/>
      <c r="X27" s="5"/>
      <c r="Y27" s="5"/>
      <c r="Z27" s="5"/>
      <c r="AA27" s="5"/>
      <c r="AB27" s="5"/>
      <c r="AC27" s="5"/>
      <c r="AD27" s="5"/>
      <c r="AE27" s="5"/>
      <c r="AF27" s="5"/>
      <c r="AG27" s="5"/>
      <c r="AH27" s="5"/>
      <c r="AI27" s="5"/>
      <c r="AJ27" s="5"/>
      <c r="AK27" s="5"/>
    </row>
    <row r="28" spans="1:37" ht="10.15" customHeight="1">
      <c r="A28" s="23"/>
      <c r="B28" s="752" t="s">
        <v>507</v>
      </c>
      <c r="C28" s="752"/>
      <c r="D28" s="752"/>
      <c r="E28" s="752"/>
      <c r="F28" s="752"/>
      <c r="G28" s="752"/>
      <c r="H28" s="752"/>
      <c r="I28" s="752"/>
      <c r="J28" s="752"/>
      <c r="K28" s="752"/>
      <c r="L28" s="752"/>
      <c r="M28" s="752"/>
      <c r="N28" s="752"/>
      <c r="O28" s="752"/>
      <c r="P28" s="752"/>
      <c r="Q28" s="752"/>
      <c r="R28" s="752"/>
      <c r="T28" s="23"/>
      <c r="U28" s="752" t="s">
        <v>507</v>
      </c>
      <c r="V28" s="752"/>
      <c r="W28" s="752"/>
      <c r="X28" s="752"/>
      <c r="Y28" s="752"/>
      <c r="Z28" s="752"/>
      <c r="AA28" s="752"/>
      <c r="AB28" s="752"/>
      <c r="AC28" s="752"/>
      <c r="AD28" s="752"/>
      <c r="AE28" s="752"/>
      <c r="AF28" s="752"/>
      <c r="AG28" s="752"/>
      <c r="AH28" s="752"/>
      <c r="AI28" s="752"/>
      <c r="AJ28" s="752"/>
      <c r="AK28" s="752"/>
    </row>
    <row r="29" spans="1:37" ht="3" customHeight="1">
      <c r="A29" s="16"/>
      <c r="B29" s="17"/>
      <c r="C29" s="17"/>
      <c r="D29" s="17"/>
      <c r="E29" s="17"/>
      <c r="F29" s="17"/>
      <c r="G29" s="17"/>
      <c r="H29" s="17"/>
      <c r="I29" s="17"/>
      <c r="J29" s="17"/>
      <c r="K29" s="17"/>
      <c r="L29" s="17"/>
      <c r="M29" s="17"/>
      <c r="N29" s="17"/>
      <c r="O29" s="17"/>
      <c r="P29" s="17"/>
      <c r="Q29" s="17"/>
      <c r="R29" s="17"/>
      <c r="T29" s="16"/>
      <c r="U29" s="17"/>
      <c r="V29" s="17"/>
      <c r="W29" s="17"/>
      <c r="X29" s="17"/>
      <c r="Y29" s="17"/>
      <c r="Z29" s="17"/>
      <c r="AA29" s="17"/>
      <c r="AB29" s="17"/>
      <c r="AC29" s="17"/>
      <c r="AD29" s="17"/>
      <c r="AE29" s="17"/>
      <c r="AF29" s="17"/>
      <c r="AG29" s="17"/>
      <c r="AH29" s="17"/>
      <c r="AI29" s="17"/>
      <c r="AJ29" s="17"/>
      <c r="AK29" s="17"/>
    </row>
    <row r="30" spans="1:37" ht="10.15" customHeight="1">
      <c r="A30" s="12" t="s">
        <v>442</v>
      </c>
      <c r="B30" s="30">
        <v>962</v>
      </c>
      <c r="C30" s="1">
        <v>65.53133514986375</v>
      </c>
      <c r="D30" s="30"/>
      <c r="E30" s="30">
        <v>51</v>
      </c>
      <c r="F30" s="1">
        <v>5.3014553014553014</v>
      </c>
      <c r="G30" s="30"/>
      <c r="H30" s="30">
        <v>506</v>
      </c>
      <c r="I30" s="1">
        <v>34.468664850136236</v>
      </c>
      <c r="J30" s="30"/>
      <c r="K30" s="30">
        <v>39</v>
      </c>
      <c r="L30" s="1">
        <v>7.7075098814229248</v>
      </c>
      <c r="M30" s="30"/>
      <c r="N30" s="30">
        <v>1468</v>
      </c>
      <c r="O30" s="24">
        <v>100</v>
      </c>
      <c r="P30" s="30"/>
      <c r="Q30" s="30">
        <v>90</v>
      </c>
      <c r="R30" s="1">
        <v>6.130790190735695</v>
      </c>
      <c r="T30" s="12" t="s">
        <v>444</v>
      </c>
      <c r="U30" s="30">
        <v>1256</v>
      </c>
      <c r="V30" s="1">
        <v>65.246753246753244</v>
      </c>
      <c r="W30" s="30"/>
      <c r="X30" s="30">
        <v>72</v>
      </c>
      <c r="Y30" s="1">
        <v>5.7324840764331215</v>
      </c>
      <c r="Z30" s="30"/>
      <c r="AA30" s="30">
        <v>669</v>
      </c>
      <c r="AB30" s="1">
        <v>34.753246753246749</v>
      </c>
      <c r="AC30" s="30"/>
      <c r="AD30" s="30">
        <v>86</v>
      </c>
      <c r="AE30" s="1">
        <v>12.855007473841553</v>
      </c>
      <c r="AF30" s="30"/>
      <c r="AG30" s="30">
        <v>1925</v>
      </c>
      <c r="AH30" s="24">
        <v>100</v>
      </c>
      <c r="AI30" s="30"/>
      <c r="AJ30" s="30">
        <v>158</v>
      </c>
      <c r="AK30" s="1">
        <v>8.2077922077922079</v>
      </c>
    </row>
    <row r="31" spans="1:37" ht="10.15" customHeight="1">
      <c r="A31" s="12" t="s">
        <v>443</v>
      </c>
      <c r="B31" s="30">
        <v>1031</v>
      </c>
      <c r="C31" s="1">
        <v>66.005121638924464</v>
      </c>
      <c r="D31" s="30"/>
      <c r="E31" s="30">
        <v>77</v>
      </c>
      <c r="F31" s="1">
        <v>7.468477206595538</v>
      </c>
      <c r="G31" s="30"/>
      <c r="H31" s="30">
        <v>531</v>
      </c>
      <c r="I31" s="1">
        <v>33.994878361075543</v>
      </c>
      <c r="J31" s="30"/>
      <c r="K31" s="30">
        <v>37</v>
      </c>
      <c r="L31" s="1">
        <v>6.9679849340866298</v>
      </c>
      <c r="M31" s="30"/>
      <c r="N31" s="30">
        <v>1562</v>
      </c>
      <c r="O31" s="24">
        <v>100</v>
      </c>
      <c r="P31" s="30"/>
      <c r="Q31" s="30">
        <v>114</v>
      </c>
      <c r="R31" s="1">
        <v>7.2983354673495526</v>
      </c>
      <c r="T31" s="12" t="s">
        <v>442</v>
      </c>
      <c r="U31" s="30">
        <v>962</v>
      </c>
      <c r="V31" s="1">
        <v>65.53133514986375</v>
      </c>
      <c r="W31" s="30"/>
      <c r="X31" s="30">
        <v>51</v>
      </c>
      <c r="Y31" s="1">
        <v>5.3014553014553014</v>
      </c>
      <c r="Z31" s="30"/>
      <c r="AA31" s="30">
        <v>506</v>
      </c>
      <c r="AB31" s="1">
        <v>34.468664850136236</v>
      </c>
      <c r="AC31" s="30"/>
      <c r="AD31" s="30">
        <v>39</v>
      </c>
      <c r="AE31" s="1">
        <v>7.7075098814229248</v>
      </c>
      <c r="AF31" s="30"/>
      <c r="AG31" s="30">
        <v>1468</v>
      </c>
      <c r="AH31" s="24">
        <v>100</v>
      </c>
      <c r="AI31" s="30"/>
      <c r="AJ31" s="30">
        <v>90</v>
      </c>
      <c r="AK31" s="1">
        <v>6.130790190735695</v>
      </c>
    </row>
    <row r="32" spans="1:37" ht="10.15" customHeight="1">
      <c r="A32" s="12" t="s">
        <v>445</v>
      </c>
      <c r="B32" s="30">
        <v>1031</v>
      </c>
      <c r="C32" s="1">
        <v>61.478831246273103</v>
      </c>
      <c r="D32" s="30"/>
      <c r="E32" s="30">
        <v>57</v>
      </c>
      <c r="F32" s="1">
        <v>5.5286129970902032</v>
      </c>
      <c r="G32" s="30"/>
      <c r="H32" s="30">
        <v>646</v>
      </c>
      <c r="I32" s="1">
        <v>38.52116875372689</v>
      </c>
      <c r="J32" s="30"/>
      <c r="K32" s="30">
        <v>34</v>
      </c>
      <c r="L32" s="1">
        <v>5.2631578947368416</v>
      </c>
      <c r="M32" s="30"/>
      <c r="N32" s="30">
        <v>1677</v>
      </c>
      <c r="O32" s="1">
        <v>100</v>
      </c>
      <c r="P32" s="30"/>
      <c r="Q32" s="30">
        <v>91</v>
      </c>
      <c r="R32" s="1">
        <v>5.4263565891472867</v>
      </c>
      <c r="T32" s="12" t="s">
        <v>443</v>
      </c>
      <c r="U32" s="30">
        <v>1031</v>
      </c>
      <c r="V32" s="1">
        <v>66.005121638924464</v>
      </c>
      <c r="W32" s="30"/>
      <c r="X32" s="30">
        <v>77</v>
      </c>
      <c r="Y32" s="1">
        <v>7.468477206595538</v>
      </c>
      <c r="Z32" s="30"/>
      <c r="AA32" s="30">
        <v>531</v>
      </c>
      <c r="AB32" s="1">
        <v>33.994878361075543</v>
      </c>
      <c r="AC32" s="30"/>
      <c r="AD32" s="30">
        <v>37</v>
      </c>
      <c r="AE32" s="1">
        <v>6.9679849340866298</v>
      </c>
      <c r="AF32" s="30"/>
      <c r="AG32" s="30">
        <v>1562</v>
      </c>
      <c r="AH32" s="24">
        <v>100</v>
      </c>
      <c r="AI32" s="30"/>
      <c r="AJ32" s="30">
        <v>114</v>
      </c>
      <c r="AK32" s="1">
        <v>7.2983354673495526</v>
      </c>
    </row>
    <row r="33" spans="1:37" ht="10.15" customHeight="1">
      <c r="A33" s="12" t="s">
        <v>446</v>
      </c>
      <c r="B33" s="3">
        <v>1017</v>
      </c>
      <c r="C33" s="1">
        <v>61.191335740072205</v>
      </c>
      <c r="D33" s="3"/>
      <c r="E33" s="3">
        <v>60</v>
      </c>
      <c r="F33" s="1">
        <v>5.8997050147492622</v>
      </c>
      <c r="G33" s="3"/>
      <c r="H33" s="3">
        <v>645</v>
      </c>
      <c r="I33" s="1">
        <v>38.808664259927802</v>
      </c>
      <c r="J33" s="3"/>
      <c r="K33" s="3">
        <v>27</v>
      </c>
      <c r="L33" s="1">
        <v>4.1860465116279073</v>
      </c>
      <c r="M33" s="3"/>
      <c r="N33" s="3">
        <v>1662</v>
      </c>
      <c r="O33" s="1">
        <v>100</v>
      </c>
      <c r="P33" s="3"/>
      <c r="Q33" s="3">
        <v>87</v>
      </c>
      <c r="R33" s="1">
        <v>5.2346570397111911</v>
      </c>
      <c r="T33" s="12" t="s">
        <v>445</v>
      </c>
      <c r="U33" s="30">
        <v>1031</v>
      </c>
      <c r="V33" s="1">
        <v>61.478831246273103</v>
      </c>
      <c r="W33" s="30"/>
      <c r="X33" s="30">
        <v>57</v>
      </c>
      <c r="Y33" s="1">
        <v>5.5286129970902032</v>
      </c>
      <c r="Z33" s="30"/>
      <c r="AA33" s="30">
        <v>646</v>
      </c>
      <c r="AB33" s="1">
        <v>38.52116875372689</v>
      </c>
      <c r="AC33" s="30"/>
      <c r="AD33" s="30">
        <v>34</v>
      </c>
      <c r="AE33" s="1">
        <v>5.2631578947368416</v>
      </c>
      <c r="AF33" s="30"/>
      <c r="AG33" s="30">
        <v>1677</v>
      </c>
      <c r="AH33" s="1">
        <v>100</v>
      </c>
      <c r="AI33" s="30"/>
      <c r="AJ33" s="30">
        <v>91</v>
      </c>
      <c r="AK33" s="1">
        <v>5.4263565891472867</v>
      </c>
    </row>
    <row r="34" spans="1:37" s="16" customFormat="1" ht="10.15" customHeight="1">
      <c r="A34" s="12" t="s">
        <v>504</v>
      </c>
      <c r="B34" s="3">
        <v>1163</v>
      </c>
      <c r="C34" s="1">
        <v>57.831924415713573</v>
      </c>
      <c r="D34" s="3"/>
      <c r="E34" s="3">
        <v>74</v>
      </c>
      <c r="F34" s="1">
        <v>6.3628546861564921</v>
      </c>
      <c r="G34" s="3"/>
      <c r="H34" s="3">
        <v>848</v>
      </c>
      <c r="I34" s="1">
        <v>42.168075584286427</v>
      </c>
      <c r="J34" s="3"/>
      <c r="K34" s="3">
        <v>35</v>
      </c>
      <c r="L34" s="1">
        <v>4.1273584905660377</v>
      </c>
      <c r="M34" s="3"/>
      <c r="N34" s="3">
        <v>2011</v>
      </c>
      <c r="O34" s="1">
        <v>100</v>
      </c>
      <c r="P34" s="3"/>
      <c r="Q34" s="3">
        <v>109</v>
      </c>
      <c r="R34" s="1">
        <v>5.4201889607160618</v>
      </c>
      <c r="T34" s="12" t="s">
        <v>446</v>
      </c>
      <c r="U34" s="3">
        <v>1017</v>
      </c>
      <c r="V34" s="1">
        <v>61.191335740072205</v>
      </c>
      <c r="W34" s="3"/>
      <c r="X34" s="3">
        <v>60</v>
      </c>
      <c r="Y34" s="1">
        <v>5.8997050147492622</v>
      </c>
      <c r="Z34" s="3"/>
      <c r="AA34" s="3">
        <v>645</v>
      </c>
      <c r="AB34" s="1">
        <v>38.808664259927802</v>
      </c>
      <c r="AC34" s="3"/>
      <c r="AD34" s="3">
        <v>27</v>
      </c>
      <c r="AE34" s="1">
        <v>4.1860465116279073</v>
      </c>
      <c r="AF34" s="3"/>
      <c r="AG34" s="3">
        <v>1662</v>
      </c>
      <c r="AH34" s="1">
        <v>100</v>
      </c>
      <c r="AI34" s="3"/>
      <c r="AJ34" s="3">
        <v>87</v>
      </c>
      <c r="AK34" s="1">
        <v>5.2346570397111911</v>
      </c>
    </row>
    <row r="35" spans="1:37" ht="3" customHeight="1">
      <c r="A35" s="16"/>
      <c r="B35" s="17"/>
      <c r="C35" s="17"/>
      <c r="D35" s="17"/>
      <c r="E35" s="17"/>
      <c r="F35" s="17"/>
      <c r="G35" s="17"/>
      <c r="H35" s="17"/>
      <c r="I35" s="17"/>
      <c r="J35" s="17"/>
      <c r="K35" s="17"/>
      <c r="L35" s="17"/>
      <c r="M35" s="17"/>
      <c r="N35" s="17"/>
      <c r="O35" s="17"/>
      <c r="P35" s="17"/>
      <c r="Q35" s="17"/>
      <c r="R35" s="17"/>
      <c r="T35" s="16"/>
      <c r="U35" s="17"/>
      <c r="V35" s="17"/>
      <c r="W35" s="17"/>
      <c r="X35" s="17"/>
      <c r="Y35" s="17"/>
      <c r="Z35" s="17"/>
      <c r="AA35" s="17"/>
      <c r="AB35" s="17"/>
      <c r="AC35" s="17"/>
      <c r="AD35" s="17"/>
      <c r="AE35" s="17"/>
      <c r="AF35" s="17"/>
      <c r="AG35" s="17"/>
      <c r="AH35" s="17"/>
      <c r="AI35" s="17"/>
      <c r="AJ35" s="17"/>
      <c r="AK35" s="17"/>
    </row>
    <row r="36" spans="1:37" ht="10.15" customHeight="1">
      <c r="A36" s="18"/>
      <c r="B36" s="755" t="s">
        <v>511</v>
      </c>
      <c r="C36" s="755"/>
      <c r="D36" s="755"/>
      <c r="E36" s="755"/>
      <c r="F36" s="755"/>
      <c r="G36" s="755"/>
      <c r="H36" s="755"/>
      <c r="I36" s="755"/>
      <c r="J36" s="755"/>
      <c r="K36" s="755"/>
      <c r="L36" s="755"/>
      <c r="M36" s="755"/>
      <c r="N36" s="755"/>
      <c r="O36" s="755"/>
      <c r="P36" s="755"/>
      <c r="Q36" s="755"/>
      <c r="R36" s="755"/>
      <c r="T36" s="18"/>
      <c r="U36" s="755" t="s">
        <v>512</v>
      </c>
      <c r="V36" s="755"/>
      <c r="W36" s="755"/>
      <c r="X36" s="755"/>
      <c r="Y36" s="755"/>
      <c r="Z36" s="755"/>
      <c r="AA36" s="755"/>
      <c r="AB36" s="755"/>
      <c r="AC36" s="755"/>
      <c r="AD36" s="755"/>
      <c r="AE36" s="755"/>
      <c r="AF36" s="755"/>
      <c r="AG36" s="755"/>
      <c r="AH36" s="755"/>
      <c r="AI36" s="755"/>
      <c r="AJ36" s="755"/>
      <c r="AK36" s="755"/>
    </row>
    <row r="37" spans="1:37" ht="3" customHeight="1">
      <c r="A37" s="16"/>
      <c r="B37" s="17"/>
      <c r="C37" s="17"/>
      <c r="D37" s="17"/>
      <c r="E37" s="17"/>
      <c r="F37" s="17"/>
      <c r="G37" s="17"/>
      <c r="H37" s="17"/>
      <c r="I37" s="17"/>
      <c r="J37" s="17"/>
      <c r="K37" s="17"/>
      <c r="L37" s="17"/>
      <c r="M37" s="17"/>
      <c r="N37" s="17"/>
      <c r="O37" s="17"/>
      <c r="P37" s="17"/>
      <c r="Q37" s="17"/>
      <c r="R37" s="17"/>
      <c r="T37" s="16"/>
      <c r="U37" s="17"/>
      <c r="V37" s="17"/>
      <c r="W37" s="17"/>
      <c r="X37" s="17"/>
      <c r="Y37" s="17"/>
      <c r="Z37" s="17"/>
      <c r="AA37" s="17"/>
      <c r="AB37" s="17"/>
      <c r="AC37" s="17"/>
      <c r="AD37" s="17"/>
      <c r="AE37" s="17"/>
      <c r="AF37" s="17"/>
      <c r="AG37" s="17"/>
      <c r="AH37" s="17"/>
      <c r="AI37" s="17"/>
      <c r="AJ37" s="17"/>
      <c r="AK37" s="17"/>
    </row>
    <row r="38" spans="1:37" ht="20.149999999999999" customHeight="1">
      <c r="A38" s="32" t="s">
        <v>517</v>
      </c>
      <c r="B38" s="3">
        <v>7</v>
      </c>
      <c r="C38" s="3">
        <v>28.000000000000004</v>
      </c>
      <c r="D38" s="3"/>
      <c r="E38" s="3">
        <v>0</v>
      </c>
      <c r="F38" s="1">
        <v>0</v>
      </c>
      <c r="G38" s="3"/>
      <c r="H38" s="3">
        <v>18</v>
      </c>
      <c r="I38" s="3">
        <v>72</v>
      </c>
      <c r="J38" s="3"/>
      <c r="K38" s="3">
        <v>0</v>
      </c>
      <c r="L38" s="1">
        <v>0</v>
      </c>
      <c r="M38" s="3"/>
      <c r="N38" s="3">
        <v>25</v>
      </c>
      <c r="O38" s="3">
        <v>100</v>
      </c>
      <c r="P38" s="3"/>
      <c r="Q38" s="3">
        <v>0</v>
      </c>
      <c r="R38" s="1">
        <v>0</v>
      </c>
      <c r="T38" s="32" t="s">
        <v>517</v>
      </c>
      <c r="U38" s="3">
        <v>1</v>
      </c>
      <c r="V38" s="1">
        <v>11.111111111111111</v>
      </c>
      <c r="W38" s="3"/>
      <c r="X38" s="3">
        <v>0</v>
      </c>
      <c r="Y38" s="1">
        <v>0</v>
      </c>
      <c r="Z38" s="3"/>
      <c r="AA38" s="3">
        <v>8</v>
      </c>
      <c r="AB38" s="1">
        <v>88.888888888888886</v>
      </c>
      <c r="AC38" s="3"/>
      <c r="AD38" s="3">
        <v>0</v>
      </c>
      <c r="AE38" s="1">
        <v>0</v>
      </c>
      <c r="AF38" s="3"/>
      <c r="AG38" s="3">
        <v>9</v>
      </c>
      <c r="AH38" s="1">
        <v>100</v>
      </c>
      <c r="AI38" s="3"/>
      <c r="AJ38" s="3">
        <v>0</v>
      </c>
      <c r="AK38" s="1">
        <v>0</v>
      </c>
    </row>
    <row r="39" spans="1:37" ht="20.149999999999999" customHeight="1">
      <c r="A39" s="25" t="s">
        <v>518</v>
      </c>
      <c r="B39" s="3">
        <v>799</v>
      </c>
      <c r="C39" s="3">
        <v>61.132364192807955</v>
      </c>
      <c r="D39" s="3"/>
      <c r="E39" s="3">
        <v>53</v>
      </c>
      <c r="F39" s="1">
        <v>6.6332916145181482</v>
      </c>
      <c r="G39" s="3"/>
      <c r="H39" s="3">
        <v>508</v>
      </c>
      <c r="I39" s="3">
        <v>38.867635807192045</v>
      </c>
      <c r="J39" s="3"/>
      <c r="K39" s="3">
        <v>21</v>
      </c>
      <c r="L39" s="1">
        <v>4.1338582677165361</v>
      </c>
      <c r="M39" s="3"/>
      <c r="N39" s="3">
        <v>1307</v>
      </c>
      <c r="O39" s="3">
        <v>100</v>
      </c>
      <c r="P39" s="3"/>
      <c r="Q39" s="3">
        <v>74</v>
      </c>
      <c r="R39" s="1">
        <v>5.6618209640397854</v>
      </c>
      <c r="T39" s="25" t="s">
        <v>518</v>
      </c>
      <c r="U39" s="3">
        <v>566</v>
      </c>
      <c r="V39" s="1">
        <v>59.641728134878825</v>
      </c>
      <c r="W39" s="3"/>
      <c r="X39" s="3">
        <v>34</v>
      </c>
      <c r="Y39" s="1">
        <v>6.0070671378091873</v>
      </c>
      <c r="Z39" s="3"/>
      <c r="AA39" s="3">
        <v>383</v>
      </c>
      <c r="AB39" s="1">
        <v>40.358271865121182</v>
      </c>
      <c r="AC39" s="3"/>
      <c r="AD39" s="3">
        <v>21</v>
      </c>
      <c r="AE39" s="1">
        <v>5.4830287206266322</v>
      </c>
      <c r="AF39" s="3"/>
      <c r="AG39" s="3">
        <v>949</v>
      </c>
      <c r="AH39" s="1">
        <v>100</v>
      </c>
      <c r="AI39" s="3"/>
      <c r="AJ39" s="3">
        <v>55</v>
      </c>
      <c r="AK39" s="1">
        <v>5.7955742887249739</v>
      </c>
    </row>
    <row r="40" spans="1:37" ht="19.5" customHeight="1">
      <c r="A40" s="25" t="s">
        <v>519</v>
      </c>
      <c r="B40" s="3">
        <v>7</v>
      </c>
      <c r="C40" s="3">
        <v>53.846153846153847</v>
      </c>
      <c r="D40" s="3"/>
      <c r="E40" s="3">
        <v>0</v>
      </c>
      <c r="F40" s="1">
        <v>0</v>
      </c>
      <c r="G40" s="3"/>
      <c r="H40" s="3">
        <v>6</v>
      </c>
      <c r="I40" s="3">
        <v>46.153846153846153</v>
      </c>
      <c r="J40" s="3"/>
      <c r="K40" s="3">
        <v>0</v>
      </c>
      <c r="L40" s="1">
        <v>0</v>
      </c>
      <c r="M40" s="3"/>
      <c r="N40" s="3">
        <v>13</v>
      </c>
      <c r="O40" s="3">
        <v>100</v>
      </c>
      <c r="P40" s="3"/>
      <c r="Q40" s="3">
        <v>0</v>
      </c>
      <c r="R40" s="1">
        <v>0</v>
      </c>
      <c r="T40" s="25" t="s">
        <v>519</v>
      </c>
      <c r="U40" s="3">
        <v>7</v>
      </c>
      <c r="V40" s="1">
        <v>70</v>
      </c>
      <c r="W40" s="3"/>
      <c r="X40" s="3">
        <v>0</v>
      </c>
      <c r="Y40" s="1">
        <v>0</v>
      </c>
      <c r="Z40" s="3"/>
      <c r="AA40" s="3">
        <v>3</v>
      </c>
      <c r="AB40" s="1">
        <v>30</v>
      </c>
      <c r="AC40" s="3"/>
      <c r="AD40" s="3">
        <v>0</v>
      </c>
      <c r="AE40" s="1">
        <v>0</v>
      </c>
      <c r="AF40" s="3"/>
      <c r="AG40" s="3">
        <v>10</v>
      </c>
      <c r="AH40" s="1">
        <v>100</v>
      </c>
      <c r="AI40" s="3"/>
      <c r="AJ40" s="3">
        <v>0</v>
      </c>
      <c r="AK40" s="1">
        <v>0</v>
      </c>
    </row>
    <row r="41" spans="1:37" ht="19.5" customHeight="1">
      <c r="A41" s="25" t="s">
        <v>520</v>
      </c>
      <c r="B41" s="3">
        <v>97</v>
      </c>
      <c r="C41" s="3">
        <v>43.303571428571431</v>
      </c>
      <c r="D41" s="3"/>
      <c r="E41" s="3">
        <v>1</v>
      </c>
      <c r="F41" s="1">
        <v>1.0309278350515463</v>
      </c>
      <c r="G41" s="3"/>
      <c r="H41" s="3">
        <v>127</v>
      </c>
      <c r="I41" s="3">
        <v>56.696428571428569</v>
      </c>
      <c r="J41" s="3"/>
      <c r="K41" s="3">
        <v>7</v>
      </c>
      <c r="L41" s="1">
        <v>5.5118110236220472</v>
      </c>
      <c r="M41" s="3"/>
      <c r="N41" s="3">
        <v>224</v>
      </c>
      <c r="O41" s="3">
        <v>100</v>
      </c>
      <c r="P41" s="3"/>
      <c r="Q41" s="3">
        <v>8</v>
      </c>
      <c r="R41" s="1">
        <v>3.5714285714285712</v>
      </c>
      <c r="T41" s="25" t="s">
        <v>520</v>
      </c>
      <c r="U41" s="3">
        <v>72</v>
      </c>
      <c r="V41" s="1">
        <v>49.655172413793103</v>
      </c>
      <c r="W41" s="3"/>
      <c r="X41" s="3">
        <v>1</v>
      </c>
      <c r="Y41" s="1">
        <v>1.3888888888888888</v>
      </c>
      <c r="Z41" s="3"/>
      <c r="AA41" s="3">
        <v>73</v>
      </c>
      <c r="AB41" s="1">
        <v>50.344827586206897</v>
      </c>
      <c r="AC41" s="3"/>
      <c r="AD41" s="3">
        <v>0</v>
      </c>
      <c r="AE41" s="1">
        <v>0</v>
      </c>
      <c r="AF41" s="3"/>
      <c r="AG41" s="3">
        <v>145</v>
      </c>
      <c r="AH41" s="1">
        <v>100</v>
      </c>
      <c r="AI41" s="3"/>
      <c r="AJ41" s="3">
        <v>1</v>
      </c>
      <c r="AK41" s="1">
        <v>0.68965517241379315</v>
      </c>
    </row>
    <row r="42" spans="1:37" ht="19.5" customHeight="1">
      <c r="A42" s="25" t="s">
        <v>521</v>
      </c>
      <c r="B42" s="3">
        <v>71</v>
      </c>
      <c r="C42" s="3">
        <v>59.166666666666664</v>
      </c>
      <c r="D42" s="3"/>
      <c r="E42" s="3">
        <v>5</v>
      </c>
      <c r="F42" s="1">
        <v>7.042253521126761</v>
      </c>
      <c r="G42" s="3"/>
      <c r="H42" s="3">
        <v>49</v>
      </c>
      <c r="I42" s="3">
        <v>40.833333333333336</v>
      </c>
      <c r="J42" s="3"/>
      <c r="K42" s="3">
        <v>1</v>
      </c>
      <c r="L42" s="1">
        <v>2.0408163265306123</v>
      </c>
      <c r="M42" s="3"/>
      <c r="N42" s="3">
        <v>120</v>
      </c>
      <c r="O42" s="3">
        <v>100</v>
      </c>
      <c r="P42" s="3"/>
      <c r="Q42" s="3">
        <v>6</v>
      </c>
      <c r="R42" s="1">
        <v>5</v>
      </c>
      <c r="T42" s="25" t="s">
        <v>521</v>
      </c>
      <c r="U42" s="3">
        <v>137</v>
      </c>
      <c r="V42" s="1">
        <v>66.829268292682926</v>
      </c>
      <c r="W42" s="3"/>
      <c r="X42" s="3">
        <v>4</v>
      </c>
      <c r="Y42" s="1">
        <v>2.9197080291970803</v>
      </c>
      <c r="Z42" s="3"/>
      <c r="AA42" s="3">
        <v>68</v>
      </c>
      <c r="AB42" s="1">
        <v>33.170731707317074</v>
      </c>
      <c r="AC42" s="3"/>
      <c r="AD42" s="3">
        <v>2</v>
      </c>
      <c r="AE42" s="1">
        <v>2.9411764705882351</v>
      </c>
      <c r="AF42" s="3"/>
      <c r="AG42" s="3">
        <v>205</v>
      </c>
      <c r="AH42" s="1">
        <v>100</v>
      </c>
      <c r="AI42" s="3"/>
      <c r="AJ42" s="3">
        <v>6</v>
      </c>
      <c r="AK42" s="1">
        <v>2.9268292682926833</v>
      </c>
    </row>
    <row r="43" spans="1:37" ht="10.15" customHeight="1">
      <c r="A43" s="25" t="s">
        <v>522</v>
      </c>
      <c r="B43" s="3">
        <v>142</v>
      </c>
      <c r="C43" s="3">
        <v>56.126482213438734</v>
      </c>
      <c r="D43" s="3"/>
      <c r="E43" s="3">
        <v>15</v>
      </c>
      <c r="F43" s="1">
        <v>10.56338028169014</v>
      </c>
      <c r="G43" s="3"/>
      <c r="H43" s="3">
        <v>111</v>
      </c>
      <c r="I43" s="3">
        <v>43.873517786561266</v>
      </c>
      <c r="J43" s="3"/>
      <c r="K43" s="3">
        <v>4</v>
      </c>
      <c r="L43" s="1">
        <v>3.6036036036036037</v>
      </c>
      <c r="M43" s="3"/>
      <c r="N43" s="3">
        <v>253</v>
      </c>
      <c r="O43" s="3">
        <v>100</v>
      </c>
      <c r="P43" s="3"/>
      <c r="Q43" s="3">
        <v>19</v>
      </c>
      <c r="R43" s="1">
        <v>7.5098814229249005</v>
      </c>
      <c r="T43" s="25" t="s">
        <v>522</v>
      </c>
      <c r="U43" s="3">
        <v>190</v>
      </c>
      <c r="V43" s="1">
        <v>69.597069597069591</v>
      </c>
      <c r="W43" s="3"/>
      <c r="X43" s="3">
        <v>21</v>
      </c>
      <c r="Y43" s="1">
        <v>11.052631578947368</v>
      </c>
      <c r="Z43" s="3"/>
      <c r="AA43" s="3">
        <v>83</v>
      </c>
      <c r="AB43" s="1">
        <v>30.402930402930401</v>
      </c>
      <c r="AC43" s="3"/>
      <c r="AD43" s="3">
        <v>4</v>
      </c>
      <c r="AE43" s="1">
        <v>4.8192771084337354</v>
      </c>
      <c r="AF43" s="3"/>
      <c r="AG43" s="3">
        <v>273</v>
      </c>
      <c r="AH43" s="1">
        <v>100</v>
      </c>
      <c r="AI43" s="3"/>
      <c r="AJ43" s="3">
        <v>25</v>
      </c>
      <c r="AK43" s="1">
        <v>9.1575091575091569</v>
      </c>
    </row>
    <row r="44" spans="1:37" s="8" customFormat="1" ht="21.65" customHeight="1">
      <c r="A44" s="25" t="s">
        <v>523</v>
      </c>
      <c r="B44" s="3">
        <v>24</v>
      </c>
      <c r="C44" s="3">
        <v>53.333333333333336</v>
      </c>
      <c r="D44" s="3"/>
      <c r="E44" s="3">
        <v>0</v>
      </c>
      <c r="F44" s="1">
        <v>0</v>
      </c>
      <c r="G44" s="3"/>
      <c r="H44" s="3">
        <v>21</v>
      </c>
      <c r="I44" s="3">
        <v>46.666666666666664</v>
      </c>
      <c r="J44" s="3"/>
      <c r="K44" s="3">
        <v>2</v>
      </c>
      <c r="L44" s="1">
        <v>9.5238095238095237</v>
      </c>
      <c r="M44" s="3"/>
      <c r="N44" s="3">
        <v>45</v>
      </c>
      <c r="O44" s="3">
        <v>100</v>
      </c>
      <c r="P44" s="3"/>
      <c r="Q44" s="3">
        <v>2</v>
      </c>
      <c r="R44" s="1">
        <v>4.4444444444444446</v>
      </c>
      <c r="T44" s="25" t="s">
        <v>523</v>
      </c>
      <c r="U44" s="3">
        <v>28</v>
      </c>
      <c r="V44" s="1">
        <v>58.333333333333336</v>
      </c>
      <c r="W44" s="3"/>
      <c r="X44" s="3">
        <v>0</v>
      </c>
      <c r="Y44" s="1">
        <v>0</v>
      </c>
      <c r="Z44" s="3"/>
      <c r="AA44" s="3">
        <v>20</v>
      </c>
      <c r="AB44" s="1">
        <v>41.666666666666671</v>
      </c>
      <c r="AC44" s="3"/>
      <c r="AD44" s="3">
        <v>0</v>
      </c>
      <c r="AE44" s="1">
        <v>0</v>
      </c>
      <c r="AF44" s="3"/>
      <c r="AG44" s="3">
        <v>48</v>
      </c>
      <c r="AH44" s="1">
        <v>100</v>
      </c>
      <c r="AI44" s="3"/>
      <c r="AJ44" s="3">
        <v>0</v>
      </c>
      <c r="AK44" s="1">
        <v>0</v>
      </c>
    </row>
    <row r="45" spans="1:37" s="8" customFormat="1" ht="10.15" customHeight="1">
      <c r="A45" s="25" t="s">
        <v>524</v>
      </c>
      <c r="B45" s="3">
        <v>0</v>
      </c>
      <c r="C45" s="3">
        <v>0</v>
      </c>
      <c r="D45" s="3">
        <v>0</v>
      </c>
      <c r="E45" s="3">
        <v>0</v>
      </c>
      <c r="F45" s="3">
        <v>0</v>
      </c>
      <c r="G45" s="3"/>
      <c r="H45" s="3">
        <v>0</v>
      </c>
      <c r="I45" s="3">
        <v>0</v>
      </c>
      <c r="J45" s="3"/>
      <c r="K45" s="3">
        <v>0</v>
      </c>
      <c r="L45" s="3">
        <v>0</v>
      </c>
      <c r="M45" s="3"/>
      <c r="N45" s="3">
        <v>0</v>
      </c>
      <c r="O45" s="3">
        <v>0</v>
      </c>
      <c r="P45" s="3"/>
      <c r="Q45" s="3">
        <v>0</v>
      </c>
      <c r="R45" s="3">
        <v>0</v>
      </c>
      <c r="T45" s="25" t="s">
        <v>524</v>
      </c>
      <c r="U45" s="3">
        <v>0</v>
      </c>
      <c r="V45" s="1">
        <v>0</v>
      </c>
      <c r="W45" s="3"/>
      <c r="X45" s="3">
        <v>0</v>
      </c>
      <c r="Y45" s="1">
        <v>0</v>
      </c>
      <c r="Z45" s="3"/>
      <c r="AA45" s="3">
        <v>0</v>
      </c>
      <c r="AB45" s="1">
        <v>0</v>
      </c>
      <c r="AC45" s="3"/>
      <c r="AD45" s="3">
        <v>0</v>
      </c>
      <c r="AE45" s="1">
        <v>0</v>
      </c>
      <c r="AF45" s="3"/>
      <c r="AG45" s="3">
        <v>0</v>
      </c>
      <c r="AH45" s="1">
        <v>100</v>
      </c>
      <c r="AI45" s="3"/>
      <c r="AJ45" s="3">
        <v>0</v>
      </c>
      <c r="AK45" s="1">
        <v>0</v>
      </c>
    </row>
    <row r="46" spans="1:37" s="8" customFormat="1" ht="10.15" customHeight="1">
      <c r="A46" s="25" t="s">
        <v>525</v>
      </c>
      <c r="B46" s="3">
        <v>16</v>
      </c>
      <c r="C46" s="3">
        <v>66.666666666666657</v>
      </c>
      <c r="D46" s="3"/>
      <c r="E46" s="3">
        <v>0</v>
      </c>
      <c r="F46" s="1">
        <v>0</v>
      </c>
      <c r="G46" s="3"/>
      <c r="H46" s="3">
        <v>8</v>
      </c>
      <c r="I46" s="3">
        <v>33.333333333333329</v>
      </c>
      <c r="J46" s="3"/>
      <c r="K46" s="3">
        <v>0</v>
      </c>
      <c r="L46" s="1">
        <v>0</v>
      </c>
      <c r="M46" s="3"/>
      <c r="N46" s="3">
        <v>24</v>
      </c>
      <c r="O46" s="3">
        <v>100</v>
      </c>
      <c r="P46" s="3"/>
      <c r="Q46" s="3">
        <v>0</v>
      </c>
      <c r="R46" s="1">
        <v>0</v>
      </c>
      <c r="T46" s="25" t="s">
        <v>525</v>
      </c>
      <c r="U46" s="3">
        <v>16</v>
      </c>
      <c r="V46" s="1">
        <v>69.565217391304344</v>
      </c>
      <c r="W46" s="3"/>
      <c r="X46" s="3">
        <v>0</v>
      </c>
      <c r="Y46" s="1">
        <v>0</v>
      </c>
      <c r="Z46" s="3"/>
      <c r="AA46" s="3">
        <v>7</v>
      </c>
      <c r="AB46" s="1">
        <v>30.434782608695656</v>
      </c>
      <c r="AC46" s="3"/>
      <c r="AD46" s="3">
        <v>0</v>
      </c>
      <c r="AE46" s="1">
        <v>0</v>
      </c>
      <c r="AF46" s="3"/>
      <c r="AG46" s="3">
        <v>23</v>
      </c>
      <c r="AH46" s="1">
        <v>100</v>
      </c>
      <c r="AI46" s="3"/>
      <c r="AJ46" s="3">
        <v>0</v>
      </c>
      <c r="AK46" s="1">
        <v>0</v>
      </c>
    </row>
    <row r="47" spans="1:37" s="8" customFormat="1" ht="10.15" customHeight="1">
      <c r="A47" s="16" t="s">
        <v>58</v>
      </c>
      <c r="B47" s="5">
        <v>1163</v>
      </c>
      <c r="C47" s="6">
        <v>57.831924415713573</v>
      </c>
      <c r="D47" s="5"/>
      <c r="E47" s="5">
        <v>74</v>
      </c>
      <c r="F47" s="6">
        <v>6.3628546861564921</v>
      </c>
      <c r="G47" s="5"/>
      <c r="H47" s="5">
        <v>848</v>
      </c>
      <c r="I47" s="6">
        <v>42.168075584286427</v>
      </c>
      <c r="J47" s="5"/>
      <c r="K47" s="5">
        <v>35</v>
      </c>
      <c r="L47" s="6">
        <v>4.1273584905660377</v>
      </c>
      <c r="M47" s="5"/>
      <c r="N47" s="5">
        <v>2011</v>
      </c>
      <c r="O47" s="6">
        <v>100</v>
      </c>
      <c r="P47" s="5"/>
      <c r="Q47" s="5">
        <v>109</v>
      </c>
      <c r="R47" s="6">
        <v>5.4201889607160618</v>
      </c>
      <c r="T47" s="16" t="s">
        <v>58</v>
      </c>
      <c r="U47" s="5">
        <v>1017</v>
      </c>
      <c r="V47" s="6">
        <v>61.191335740072205</v>
      </c>
      <c r="W47" s="5"/>
      <c r="X47" s="5">
        <v>60</v>
      </c>
      <c r="Y47" s="6">
        <v>5.8997050147492622</v>
      </c>
      <c r="Z47" s="5"/>
      <c r="AA47" s="5">
        <v>645</v>
      </c>
      <c r="AB47" s="6">
        <v>38.808664259927802</v>
      </c>
      <c r="AC47" s="5"/>
      <c r="AD47" s="5">
        <v>27</v>
      </c>
      <c r="AE47" s="6">
        <v>4.1860465116279073</v>
      </c>
      <c r="AF47" s="5"/>
      <c r="AG47" s="5">
        <v>1662</v>
      </c>
      <c r="AH47" s="6">
        <v>100</v>
      </c>
      <c r="AI47" s="5"/>
      <c r="AJ47" s="5">
        <v>87</v>
      </c>
      <c r="AK47" s="6">
        <v>5.2346570397111911</v>
      </c>
    </row>
    <row r="48" spans="1:37" s="8" customFormat="1" ht="3" customHeight="1">
      <c r="A48" s="16"/>
      <c r="B48" s="5"/>
      <c r="C48" s="1"/>
      <c r="D48" s="5"/>
      <c r="E48" s="5"/>
      <c r="F48" s="5"/>
      <c r="G48" s="5"/>
      <c r="H48" s="5"/>
      <c r="I48" s="5"/>
      <c r="J48" s="5"/>
      <c r="K48" s="5"/>
      <c r="L48" s="5"/>
      <c r="M48" s="5"/>
      <c r="N48" s="5"/>
      <c r="O48" s="5"/>
      <c r="P48" s="5"/>
      <c r="Q48" s="5"/>
      <c r="R48" s="5"/>
      <c r="T48" s="16"/>
      <c r="U48" s="5"/>
      <c r="V48" s="1"/>
      <c r="W48" s="5"/>
      <c r="X48" s="5"/>
      <c r="Y48" s="5"/>
      <c r="Z48" s="5"/>
      <c r="AA48" s="5"/>
      <c r="AB48" s="5"/>
      <c r="AC48" s="5"/>
      <c r="AD48" s="5"/>
      <c r="AE48" s="5"/>
      <c r="AF48" s="5"/>
      <c r="AG48" s="5"/>
      <c r="AH48" s="5"/>
      <c r="AI48" s="5"/>
      <c r="AJ48" s="5"/>
      <c r="AK48" s="5"/>
    </row>
    <row r="49" spans="1:37" ht="10.15" customHeight="1">
      <c r="A49" s="23"/>
      <c r="B49" s="752" t="s">
        <v>508</v>
      </c>
      <c r="C49" s="752"/>
      <c r="D49" s="752"/>
      <c r="E49" s="752"/>
      <c r="F49" s="752"/>
      <c r="G49" s="752"/>
      <c r="H49" s="752"/>
      <c r="I49" s="752"/>
      <c r="J49" s="752"/>
      <c r="K49" s="752"/>
      <c r="L49" s="752"/>
      <c r="M49" s="752"/>
      <c r="N49" s="752"/>
      <c r="O49" s="752"/>
      <c r="P49" s="752"/>
      <c r="Q49" s="752"/>
      <c r="R49" s="752"/>
      <c r="T49" s="23"/>
      <c r="U49" s="752" t="s">
        <v>508</v>
      </c>
      <c r="V49" s="752"/>
      <c r="W49" s="752"/>
      <c r="X49" s="752"/>
      <c r="Y49" s="752"/>
      <c r="Z49" s="752"/>
      <c r="AA49" s="752"/>
      <c r="AB49" s="752"/>
      <c r="AC49" s="752"/>
      <c r="AD49" s="752"/>
      <c r="AE49" s="752"/>
      <c r="AF49" s="752"/>
      <c r="AG49" s="752"/>
      <c r="AH49" s="752"/>
      <c r="AI49" s="752"/>
      <c r="AJ49" s="752"/>
      <c r="AK49" s="752"/>
    </row>
    <row r="50" spans="1:37" s="8" customFormat="1" ht="3" customHeight="1">
      <c r="A50" s="16"/>
      <c r="B50" s="5"/>
      <c r="C50" s="5"/>
      <c r="D50" s="5"/>
      <c r="E50" s="5"/>
      <c r="F50" s="5"/>
      <c r="G50" s="5"/>
      <c r="H50" s="5"/>
      <c r="I50" s="5"/>
      <c r="J50" s="5"/>
      <c r="K50" s="5"/>
      <c r="L50" s="5"/>
      <c r="M50" s="5"/>
      <c r="N50" s="5"/>
      <c r="O50" s="5"/>
      <c r="P50" s="5"/>
      <c r="Q50" s="5"/>
      <c r="R50" s="5"/>
      <c r="T50" s="16"/>
      <c r="U50" s="5"/>
      <c r="V50" s="5"/>
      <c r="W50" s="5"/>
      <c r="X50" s="5"/>
      <c r="Y50" s="5"/>
      <c r="Z50" s="5"/>
      <c r="AA50" s="5"/>
      <c r="AB50" s="5"/>
      <c r="AC50" s="5"/>
      <c r="AD50" s="5"/>
      <c r="AE50" s="5"/>
      <c r="AF50" s="5"/>
      <c r="AG50" s="5"/>
      <c r="AH50" s="5"/>
      <c r="AI50" s="5"/>
      <c r="AJ50" s="5"/>
      <c r="AK50" s="5"/>
    </row>
    <row r="51" spans="1:37" ht="10.15" customHeight="1">
      <c r="A51" s="12" t="s">
        <v>442</v>
      </c>
      <c r="B51" s="3">
        <v>355</v>
      </c>
      <c r="C51" s="1">
        <v>49.789621318373072</v>
      </c>
      <c r="D51" s="3"/>
      <c r="E51" s="3">
        <v>18</v>
      </c>
      <c r="F51" s="1">
        <v>5.070422535211268</v>
      </c>
      <c r="G51" s="3"/>
      <c r="H51" s="3">
        <v>358</v>
      </c>
      <c r="I51" s="1">
        <v>50.210378681626935</v>
      </c>
      <c r="J51" s="3"/>
      <c r="K51" s="3">
        <v>48</v>
      </c>
      <c r="L51" s="1">
        <v>13.407821229050279</v>
      </c>
      <c r="M51" s="3"/>
      <c r="N51" s="3">
        <v>713</v>
      </c>
      <c r="O51" s="24">
        <v>100</v>
      </c>
      <c r="P51" s="3"/>
      <c r="Q51" s="3">
        <v>66</v>
      </c>
      <c r="R51" s="1">
        <v>9.2566619915848527</v>
      </c>
      <c r="T51" s="12" t="s">
        <v>444</v>
      </c>
      <c r="U51" s="3">
        <v>599</v>
      </c>
      <c r="V51" s="1">
        <v>58.268482490272376</v>
      </c>
      <c r="W51" s="3"/>
      <c r="X51" s="3">
        <v>21</v>
      </c>
      <c r="Y51" s="1">
        <v>3.5058430717863103</v>
      </c>
      <c r="Z51" s="3"/>
      <c r="AA51" s="3">
        <v>429</v>
      </c>
      <c r="AB51" s="1">
        <v>41.731517509727631</v>
      </c>
      <c r="AC51" s="3"/>
      <c r="AD51" s="3">
        <v>85</v>
      </c>
      <c r="AE51" s="1">
        <v>19.813519813519815</v>
      </c>
      <c r="AF51" s="3"/>
      <c r="AG51" s="3">
        <v>1028</v>
      </c>
      <c r="AH51" s="24">
        <v>100</v>
      </c>
      <c r="AI51" s="3"/>
      <c r="AJ51" s="3">
        <v>106</v>
      </c>
      <c r="AK51" s="1">
        <v>10.311284046692606</v>
      </c>
    </row>
    <row r="52" spans="1:37" ht="10.15" customHeight="1">
      <c r="A52" s="12" t="s">
        <v>443</v>
      </c>
      <c r="B52" s="30">
        <v>468</v>
      </c>
      <c r="C52" s="1">
        <v>56.047904191616773</v>
      </c>
      <c r="D52" s="30"/>
      <c r="E52" s="30">
        <v>18</v>
      </c>
      <c r="F52" s="1">
        <v>3.8461538461538463</v>
      </c>
      <c r="G52" s="30"/>
      <c r="H52" s="30">
        <v>367</v>
      </c>
      <c r="I52" s="1">
        <v>43.952095808383234</v>
      </c>
      <c r="J52" s="30"/>
      <c r="K52" s="30">
        <v>47</v>
      </c>
      <c r="L52" s="1">
        <v>12.806539509536785</v>
      </c>
      <c r="M52" s="30"/>
      <c r="N52" s="30">
        <v>835</v>
      </c>
      <c r="O52" s="24">
        <v>100</v>
      </c>
      <c r="P52" s="30"/>
      <c r="Q52" s="30">
        <v>65</v>
      </c>
      <c r="R52" s="1">
        <v>7.7844311377245514</v>
      </c>
      <c r="T52" s="12" t="s">
        <v>442</v>
      </c>
      <c r="U52" s="3">
        <v>355</v>
      </c>
      <c r="V52" s="1">
        <v>49.789621318373072</v>
      </c>
      <c r="W52" s="3"/>
      <c r="X52" s="3">
        <v>18</v>
      </c>
      <c r="Y52" s="1">
        <v>5.070422535211268</v>
      </c>
      <c r="Z52" s="3"/>
      <c r="AA52" s="3">
        <v>358</v>
      </c>
      <c r="AB52" s="1">
        <v>50.210378681626935</v>
      </c>
      <c r="AC52" s="3"/>
      <c r="AD52" s="3">
        <v>48</v>
      </c>
      <c r="AE52" s="1">
        <v>13.407821229050279</v>
      </c>
      <c r="AF52" s="3"/>
      <c r="AG52" s="3">
        <v>713</v>
      </c>
      <c r="AH52" s="24">
        <v>100</v>
      </c>
      <c r="AI52" s="3"/>
      <c r="AJ52" s="3">
        <v>66</v>
      </c>
      <c r="AK52" s="1">
        <v>9.2566619915848527</v>
      </c>
    </row>
    <row r="53" spans="1:37" ht="10.15" customHeight="1">
      <c r="A53" s="12" t="s">
        <v>445</v>
      </c>
      <c r="B53" s="30">
        <v>511</v>
      </c>
      <c r="C53" s="1">
        <v>48.620361560418651</v>
      </c>
      <c r="D53" s="30"/>
      <c r="E53" s="30">
        <v>20</v>
      </c>
      <c r="F53" s="1">
        <v>3.9138943248532287</v>
      </c>
      <c r="G53" s="30"/>
      <c r="H53" s="30">
        <v>540</v>
      </c>
      <c r="I53" s="1">
        <v>51.379638439581356</v>
      </c>
      <c r="J53" s="30"/>
      <c r="K53" s="30">
        <v>56</v>
      </c>
      <c r="L53" s="1">
        <v>10.37037037037037</v>
      </c>
      <c r="M53" s="30"/>
      <c r="N53" s="30">
        <v>1051</v>
      </c>
      <c r="O53" s="1">
        <v>100</v>
      </c>
      <c r="P53" s="30"/>
      <c r="Q53" s="30">
        <v>76</v>
      </c>
      <c r="R53" s="1">
        <v>7.2312083729781165</v>
      </c>
      <c r="T53" s="12" t="s">
        <v>443</v>
      </c>
      <c r="U53" s="30">
        <v>468</v>
      </c>
      <c r="V53" s="1">
        <v>56.047904191616773</v>
      </c>
      <c r="W53" s="30"/>
      <c r="X53" s="30">
        <v>18</v>
      </c>
      <c r="Y53" s="1">
        <v>3.8461538461538463</v>
      </c>
      <c r="Z53" s="30"/>
      <c r="AA53" s="30">
        <v>367</v>
      </c>
      <c r="AB53" s="1">
        <v>43.952095808383234</v>
      </c>
      <c r="AC53" s="30"/>
      <c r="AD53" s="30">
        <v>47</v>
      </c>
      <c r="AE53" s="1">
        <v>12.806539509536785</v>
      </c>
      <c r="AF53" s="30"/>
      <c r="AG53" s="30">
        <v>835</v>
      </c>
      <c r="AH53" s="24">
        <v>100</v>
      </c>
      <c r="AI53" s="30"/>
      <c r="AJ53" s="30">
        <v>65</v>
      </c>
      <c r="AK53" s="1">
        <v>7.7844311377245514</v>
      </c>
    </row>
    <row r="54" spans="1:37" ht="10.15" customHeight="1">
      <c r="A54" s="12" t="s">
        <v>446</v>
      </c>
      <c r="B54" s="3">
        <v>585</v>
      </c>
      <c r="C54" s="1">
        <v>51.225919439579684</v>
      </c>
      <c r="D54" s="3"/>
      <c r="E54" s="3">
        <v>24</v>
      </c>
      <c r="F54" s="1">
        <v>4.1025641025641022</v>
      </c>
      <c r="G54" s="3"/>
      <c r="H54" s="3">
        <v>557</v>
      </c>
      <c r="I54" s="1">
        <v>48.774080560420316</v>
      </c>
      <c r="J54" s="3"/>
      <c r="K54" s="3">
        <v>36</v>
      </c>
      <c r="L54" s="1">
        <v>6.4631956912028716</v>
      </c>
      <c r="M54" s="3"/>
      <c r="N54" s="3">
        <v>1142</v>
      </c>
      <c r="O54" s="1">
        <v>100</v>
      </c>
      <c r="P54" s="3"/>
      <c r="Q54" s="3">
        <v>60</v>
      </c>
      <c r="R54" s="1">
        <v>5.2539404553415059</v>
      </c>
      <c r="T54" s="12" t="s">
        <v>445</v>
      </c>
      <c r="U54" s="30">
        <v>511</v>
      </c>
      <c r="V54" s="1">
        <v>48.620361560418651</v>
      </c>
      <c r="W54" s="30"/>
      <c r="X54" s="30">
        <v>20</v>
      </c>
      <c r="Y54" s="1">
        <v>3.9138943248532287</v>
      </c>
      <c r="Z54" s="30"/>
      <c r="AA54" s="30">
        <v>540</v>
      </c>
      <c r="AB54" s="1">
        <v>51.379638439581356</v>
      </c>
      <c r="AC54" s="30"/>
      <c r="AD54" s="30">
        <v>56</v>
      </c>
      <c r="AE54" s="1">
        <v>10.37037037037037</v>
      </c>
      <c r="AF54" s="30"/>
      <c r="AG54" s="30">
        <v>1051</v>
      </c>
      <c r="AH54" s="1">
        <v>100</v>
      </c>
      <c r="AI54" s="30"/>
      <c r="AJ54" s="30">
        <v>76</v>
      </c>
      <c r="AK54" s="1">
        <v>7.2312083729781165</v>
      </c>
    </row>
    <row r="55" spans="1:37" s="16" customFormat="1" ht="10.15" customHeight="1">
      <c r="A55" s="12" t="s">
        <v>504</v>
      </c>
      <c r="B55" s="3">
        <v>624</v>
      </c>
      <c r="C55" s="1">
        <v>49.602543720190781</v>
      </c>
      <c r="D55" s="3"/>
      <c r="E55" s="3">
        <v>30</v>
      </c>
      <c r="F55" s="1">
        <v>4.8076923076923084</v>
      </c>
      <c r="G55" s="3"/>
      <c r="H55" s="3">
        <v>634</v>
      </c>
      <c r="I55" s="1">
        <v>50.397456279809219</v>
      </c>
      <c r="J55" s="3"/>
      <c r="K55" s="3">
        <v>49</v>
      </c>
      <c r="L55" s="1">
        <v>7.728706624605679</v>
      </c>
      <c r="M55" s="3"/>
      <c r="N55" s="3">
        <v>1258</v>
      </c>
      <c r="O55" s="1">
        <v>100</v>
      </c>
      <c r="P55" s="3"/>
      <c r="Q55" s="3">
        <v>79</v>
      </c>
      <c r="R55" s="1">
        <v>6.2798092209856913</v>
      </c>
      <c r="T55" s="12" t="s">
        <v>446</v>
      </c>
      <c r="U55" s="3">
        <v>585</v>
      </c>
      <c r="V55" s="1">
        <v>51.225919439579684</v>
      </c>
      <c r="W55" s="3"/>
      <c r="X55" s="3">
        <v>24</v>
      </c>
      <c r="Y55" s="1">
        <v>4.1025641025641022</v>
      </c>
      <c r="Z55" s="3"/>
      <c r="AA55" s="3">
        <v>557</v>
      </c>
      <c r="AB55" s="1">
        <v>48.774080560420316</v>
      </c>
      <c r="AC55" s="3"/>
      <c r="AD55" s="3">
        <v>36</v>
      </c>
      <c r="AE55" s="1">
        <v>6.4631956912028716</v>
      </c>
      <c r="AF55" s="3"/>
      <c r="AG55" s="3">
        <v>1142</v>
      </c>
      <c r="AH55" s="1">
        <v>100</v>
      </c>
      <c r="AI55" s="3"/>
      <c r="AJ55" s="3">
        <v>60</v>
      </c>
      <c r="AK55" s="1">
        <v>5.2539404553415059</v>
      </c>
    </row>
    <row r="56" spans="1:37" ht="3" customHeight="1">
      <c r="A56" s="16"/>
      <c r="B56" s="17"/>
      <c r="C56" s="17"/>
      <c r="D56" s="17"/>
      <c r="E56" s="17"/>
      <c r="F56" s="17"/>
      <c r="G56" s="17"/>
      <c r="H56" s="17"/>
      <c r="I56" s="17"/>
      <c r="J56" s="17"/>
      <c r="K56" s="17"/>
      <c r="L56" s="17"/>
      <c r="M56" s="17"/>
      <c r="N56" s="17"/>
      <c r="O56" s="17"/>
      <c r="P56" s="17"/>
      <c r="Q56" s="17"/>
      <c r="R56" s="17"/>
      <c r="T56" s="16"/>
      <c r="U56" s="17"/>
      <c r="V56" s="17"/>
      <c r="W56" s="17"/>
      <c r="X56" s="17"/>
      <c r="Y56" s="17"/>
      <c r="Z56" s="17"/>
      <c r="AA56" s="17"/>
      <c r="AB56" s="17"/>
      <c r="AC56" s="17"/>
      <c r="AD56" s="17"/>
      <c r="AE56" s="17"/>
      <c r="AF56" s="17"/>
      <c r="AG56" s="17"/>
      <c r="AH56" s="17"/>
      <c r="AI56" s="17"/>
      <c r="AJ56" s="17"/>
      <c r="AK56" s="17"/>
    </row>
    <row r="57" spans="1:37" ht="10.15" customHeight="1">
      <c r="A57" s="18"/>
      <c r="B57" s="755" t="s">
        <v>511</v>
      </c>
      <c r="C57" s="755"/>
      <c r="D57" s="755"/>
      <c r="E57" s="755"/>
      <c r="F57" s="755"/>
      <c r="G57" s="755"/>
      <c r="H57" s="755"/>
      <c r="I57" s="755"/>
      <c r="J57" s="755"/>
      <c r="K57" s="755"/>
      <c r="L57" s="755"/>
      <c r="M57" s="755"/>
      <c r="N57" s="755"/>
      <c r="O57" s="755"/>
      <c r="P57" s="755"/>
      <c r="Q57" s="755"/>
      <c r="R57" s="755"/>
      <c r="T57" s="18"/>
      <c r="U57" s="755" t="s">
        <v>512</v>
      </c>
      <c r="V57" s="755"/>
      <c r="W57" s="755"/>
      <c r="X57" s="755"/>
      <c r="Y57" s="755"/>
      <c r="Z57" s="755"/>
      <c r="AA57" s="755"/>
      <c r="AB57" s="755"/>
      <c r="AC57" s="755"/>
      <c r="AD57" s="755"/>
      <c r="AE57" s="755"/>
      <c r="AF57" s="755"/>
      <c r="AG57" s="755"/>
      <c r="AH57" s="755"/>
      <c r="AI57" s="755"/>
      <c r="AJ57" s="755"/>
      <c r="AK57" s="755"/>
    </row>
    <row r="58" spans="1:37" ht="3" customHeight="1">
      <c r="A58" s="16"/>
      <c r="B58" s="17"/>
      <c r="C58" s="17"/>
      <c r="D58" s="17"/>
      <c r="E58" s="17"/>
      <c r="F58" s="17"/>
      <c r="G58" s="17"/>
      <c r="H58" s="17"/>
      <c r="I58" s="17"/>
      <c r="J58" s="17"/>
      <c r="K58" s="17"/>
      <c r="L58" s="17"/>
      <c r="M58" s="17"/>
      <c r="N58" s="17"/>
      <c r="O58" s="17"/>
      <c r="P58" s="17"/>
      <c r="Q58" s="17"/>
      <c r="R58" s="17"/>
      <c r="T58" s="16"/>
      <c r="U58" s="17"/>
      <c r="V58" s="17"/>
      <c r="W58" s="17"/>
      <c r="X58" s="17"/>
      <c r="Y58" s="17"/>
      <c r="Z58" s="17"/>
      <c r="AA58" s="17"/>
      <c r="AB58" s="17"/>
      <c r="AC58" s="17"/>
      <c r="AD58" s="17"/>
      <c r="AE58" s="17"/>
      <c r="AF58" s="17"/>
      <c r="AG58" s="17"/>
      <c r="AH58" s="17"/>
      <c r="AI58" s="17"/>
      <c r="AJ58" s="17"/>
      <c r="AK58" s="17"/>
    </row>
    <row r="59" spans="1:37" ht="10.15" customHeight="1">
      <c r="A59" s="31" t="s">
        <v>526</v>
      </c>
      <c r="B59" s="3">
        <v>476</v>
      </c>
      <c r="C59" s="3">
        <v>47.222222222222221</v>
      </c>
      <c r="D59" s="3"/>
      <c r="E59" s="3">
        <v>24</v>
      </c>
      <c r="F59" s="1">
        <v>5.0420168067226889</v>
      </c>
      <c r="G59" s="3"/>
      <c r="H59" s="3">
        <v>532</v>
      </c>
      <c r="I59" s="1">
        <v>52.777777777777779</v>
      </c>
      <c r="J59" s="3"/>
      <c r="K59" s="3">
        <v>27</v>
      </c>
      <c r="L59" s="1">
        <v>5.0751879699248121</v>
      </c>
      <c r="M59" s="3"/>
      <c r="N59" s="3">
        <v>1008</v>
      </c>
      <c r="O59" s="1">
        <v>100</v>
      </c>
      <c r="P59" s="3"/>
      <c r="Q59" s="3">
        <v>51</v>
      </c>
      <c r="R59" s="1">
        <v>5.0595238095238093</v>
      </c>
      <c r="T59" s="31" t="s">
        <v>526</v>
      </c>
      <c r="U59" s="3">
        <v>442</v>
      </c>
      <c r="V59" s="1">
        <v>48.839779005524861</v>
      </c>
      <c r="W59" s="3"/>
      <c r="X59" s="3">
        <v>17</v>
      </c>
      <c r="Y59" s="1">
        <v>3.8461538461538463</v>
      </c>
      <c r="Z59" s="3"/>
      <c r="AA59" s="3">
        <v>463</v>
      </c>
      <c r="AB59" s="1">
        <v>51.160220994475139</v>
      </c>
      <c r="AC59" s="3"/>
      <c r="AD59" s="3">
        <v>13</v>
      </c>
      <c r="AE59" s="1">
        <v>2.8077753779697625</v>
      </c>
      <c r="AF59" s="3"/>
      <c r="AG59" s="3">
        <v>905</v>
      </c>
      <c r="AH59" s="1">
        <v>100</v>
      </c>
      <c r="AI59" s="3"/>
      <c r="AJ59" s="3">
        <v>30</v>
      </c>
      <c r="AK59" s="1">
        <v>3.3149171270718232</v>
      </c>
    </row>
    <row r="60" spans="1:37" ht="10.15" customHeight="1">
      <c r="A60" s="13" t="s">
        <v>527</v>
      </c>
      <c r="B60" s="3">
        <v>148</v>
      </c>
      <c r="C60" s="3">
        <v>59.199999999999996</v>
      </c>
      <c r="D60" s="3"/>
      <c r="E60" s="3">
        <v>6</v>
      </c>
      <c r="F60" s="1">
        <v>4.0540540540540544</v>
      </c>
      <c r="G60" s="3"/>
      <c r="H60" s="3">
        <v>102</v>
      </c>
      <c r="I60" s="1">
        <v>40.799999999999997</v>
      </c>
      <c r="J60" s="3"/>
      <c r="K60" s="3">
        <v>22</v>
      </c>
      <c r="L60" s="1">
        <v>21.568627450980394</v>
      </c>
      <c r="M60" s="3"/>
      <c r="N60" s="3">
        <v>250</v>
      </c>
      <c r="O60" s="1">
        <v>100</v>
      </c>
      <c r="P60" s="3"/>
      <c r="Q60" s="3">
        <v>28</v>
      </c>
      <c r="R60" s="1">
        <v>11.200000000000001</v>
      </c>
      <c r="T60" s="13" t="s">
        <v>527</v>
      </c>
      <c r="U60" s="3">
        <v>143</v>
      </c>
      <c r="V60" s="1">
        <v>60.337552742616026</v>
      </c>
      <c r="W60" s="3"/>
      <c r="X60" s="3">
        <v>7</v>
      </c>
      <c r="Y60" s="1">
        <v>4.895104895104895</v>
      </c>
      <c r="Z60" s="3"/>
      <c r="AA60" s="3">
        <v>94</v>
      </c>
      <c r="AB60" s="1">
        <v>39.662447257383967</v>
      </c>
      <c r="AC60" s="3"/>
      <c r="AD60" s="3">
        <v>23</v>
      </c>
      <c r="AE60" s="1">
        <v>24.468085106382979</v>
      </c>
      <c r="AF60" s="3"/>
      <c r="AG60" s="3">
        <v>237</v>
      </c>
      <c r="AH60" s="1">
        <v>100</v>
      </c>
      <c r="AI60" s="3"/>
      <c r="AJ60" s="3">
        <v>30</v>
      </c>
      <c r="AK60" s="1">
        <v>12.658227848101266</v>
      </c>
    </row>
    <row r="61" spans="1:37" ht="10.15" customHeight="1">
      <c r="A61" s="16" t="s">
        <v>58</v>
      </c>
      <c r="B61" s="5">
        <v>624</v>
      </c>
      <c r="C61" s="5">
        <v>49.602543720190781</v>
      </c>
      <c r="D61" s="5"/>
      <c r="E61" s="5">
        <v>30</v>
      </c>
      <c r="F61" s="6">
        <v>4.8076923076923084</v>
      </c>
      <c r="G61" s="5"/>
      <c r="H61" s="5">
        <v>634</v>
      </c>
      <c r="I61" s="6">
        <v>50.397456279809219</v>
      </c>
      <c r="J61" s="5"/>
      <c r="K61" s="5">
        <v>49</v>
      </c>
      <c r="L61" s="6">
        <v>7.728706624605679</v>
      </c>
      <c r="M61" s="5"/>
      <c r="N61" s="5">
        <v>1258</v>
      </c>
      <c r="O61" s="6">
        <v>100</v>
      </c>
      <c r="P61" s="5"/>
      <c r="Q61" s="5">
        <v>79</v>
      </c>
      <c r="R61" s="1">
        <v>6.2798092209856913</v>
      </c>
      <c r="T61" s="16" t="s">
        <v>58</v>
      </c>
      <c r="U61" s="5">
        <v>585</v>
      </c>
      <c r="V61" s="6">
        <v>51.225919439579684</v>
      </c>
      <c r="W61" s="5"/>
      <c r="X61" s="5">
        <v>24</v>
      </c>
      <c r="Y61" s="6">
        <v>4.1025641025641022</v>
      </c>
      <c r="Z61" s="5"/>
      <c r="AA61" s="5">
        <v>557</v>
      </c>
      <c r="AB61" s="6">
        <v>48.774080560420316</v>
      </c>
      <c r="AC61" s="5"/>
      <c r="AD61" s="5">
        <v>36</v>
      </c>
      <c r="AE61" s="6">
        <v>6.4631956912028716</v>
      </c>
      <c r="AF61" s="5"/>
      <c r="AG61" s="5">
        <v>1142</v>
      </c>
      <c r="AH61" s="6">
        <v>100</v>
      </c>
      <c r="AI61" s="5"/>
      <c r="AJ61" s="5">
        <v>60</v>
      </c>
      <c r="AK61" s="6">
        <v>5.2539404553415059</v>
      </c>
    </row>
    <row r="62" spans="1:37" ht="3" customHeight="1">
      <c r="A62" s="20"/>
      <c r="B62" s="20"/>
      <c r="C62" s="20"/>
      <c r="D62" s="20"/>
      <c r="E62" s="20"/>
      <c r="F62" s="20"/>
      <c r="G62" s="20"/>
      <c r="H62" s="20"/>
      <c r="I62" s="20"/>
      <c r="J62" s="20"/>
      <c r="K62" s="20"/>
      <c r="L62" s="20"/>
      <c r="M62" s="20"/>
      <c r="N62" s="20"/>
      <c r="O62" s="20"/>
      <c r="P62" s="20"/>
      <c r="Q62" s="20"/>
      <c r="R62" s="20"/>
      <c r="T62" s="20"/>
      <c r="U62" s="20"/>
      <c r="V62" s="20"/>
      <c r="W62" s="20"/>
      <c r="X62" s="20"/>
      <c r="Y62" s="20"/>
      <c r="Z62" s="20"/>
      <c r="AA62" s="20"/>
      <c r="AB62" s="20"/>
      <c r="AC62" s="20"/>
      <c r="AD62" s="20"/>
      <c r="AE62" s="20"/>
      <c r="AF62" s="20"/>
      <c r="AG62" s="20"/>
      <c r="AH62" s="20"/>
      <c r="AI62" s="20"/>
      <c r="AJ62" s="20"/>
      <c r="AK62" s="20"/>
    </row>
    <row r="63" spans="1:37" ht="3" customHeight="1"/>
    <row r="64" spans="1:37" ht="10.15" customHeight="1">
      <c r="A64" s="706" t="s">
        <v>429</v>
      </c>
      <c r="B64" s="706"/>
      <c r="C64" s="706"/>
      <c r="D64" s="706"/>
      <c r="E64" s="706"/>
      <c r="F64" s="706"/>
      <c r="G64" s="706"/>
      <c r="H64" s="706"/>
      <c r="I64" s="706"/>
      <c r="J64" s="706"/>
      <c r="K64" s="706"/>
      <c r="L64" s="706"/>
      <c r="M64" s="706"/>
      <c r="N64" s="706"/>
      <c r="O64" s="706"/>
      <c r="P64" s="706"/>
      <c r="Q64" s="706"/>
      <c r="R64" s="706"/>
      <c r="S64" s="500"/>
      <c r="T64" s="706" t="s">
        <v>429</v>
      </c>
      <c r="U64" s="706"/>
      <c r="V64" s="706"/>
      <c r="W64" s="706"/>
      <c r="X64" s="706"/>
      <c r="Y64" s="706"/>
      <c r="Z64" s="706"/>
      <c r="AA64" s="706"/>
      <c r="AB64" s="706"/>
      <c r="AC64" s="706"/>
      <c r="AD64" s="706"/>
      <c r="AE64" s="706"/>
      <c r="AF64" s="706"/>
      <c r="AG64" s="706"/>
      <c r="AH64" s="706"/>
      <c r="AI64" s="706"/>
      <c r="AJ64" s="706"/>
      <c r="AK64" s="706"/>
    </row>
    <row r="66" spans="1:19">
      <c r="A66" s="706"/>
      <c r="B66" s="706"/>
      <c r="C66" s="706"/>
      <c r="D66" s="706"/>
      <c r="E66" s="706"/>
      <c r="F66" s="706"/>
      <c r="G66" s="706"/>
      <c r="H66" s="706"/>
      <c r="I66" s="706"/>
      <c r="J66" s="706"/>
      <c r="K66" s="706"/>
      <c r="L66" s="706"/>
      <c r="M66" s="706"/>
      <c r="N66" s="706"/>
      <c r="O66" s="706"/>
      <c r="P66" s="706"/>
      <c r="Q66" s="706"/>
      <c r="R66" s="706"/>
      <c r="S66" s="706"/>
    </row>
  </sheetData>
  <mergeCells count="43">
    <mergeCell ref="A64:R64"/>
    <mergeCell ref="T64:AK64"/>
    <mergeCell ref="A66:S66"/>
    <mergeCell ref="B36:R36"/>
    <mergeCell ref="U36:AK36"/>
    <mergeCell ref="B49:R49"/>
    <mergeCell ref="U49:AK49"/>
    <mergeCell ref="B57:R57"/>
    <mergeCell ref="U57:AK57"/>
    <mergeCell ref="B12:R12"/>
    <mergeCell ref="U12:AK12"/>
    <mergeCell ref="B20:R20"/>
    <mergeCell ref="U20:AK20"/>
    <mergeCell ref="B28:R28"/>
    <mergeCell ref="U28:AK28"/>
    <mergeCell ref="AJ9:AK9"/>
    <mergeCell ref="N9:N10"/>
    <mergeCell ref="O9:O10"/>
    <mergeCell ref="Q9:R9"/>
    <mergeCell ref="U9:U10"/>
    <mergeCell ref="V9:V10"/>
    <mergeCell ref="X9:Y9"/>
    <mergeCell ref="AA9:AA10"/>
    <mergeCell ref="AB9:AB10"/>
    <mergeCell ref="AD9:AE9"/>
    <mergeCell ref="AG9:AG10"/>
    <mergeCell ref="AH9:AH10"/>
    <mergeCell ref="K9:L9"/>
    <mergeCell ref="A5:R5"/>
    <mergeCell ref="T5:AK5"/>
    <mergeCell ref="A8:A10"/>
    <mergeCell ref="B8:F8"/>
    <mergeCell ref="H8:L8"/>
    <mergeCell ref="N8:R8"/>
    <mergeCell ref="T8:T10"/>
    <mergeCell ref="U8:Y8"/>
    <mergeCell ref="AA8:AE8"/>
    <mergeCell ref="AG8:AK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L49"/>
  <sheetViews>
    <sheetView zoomScaleNormal="100" workbookViewId="0">
      <selection activeCell="A4" sqref="A4"/>
    </sheetView>
  </sheetViews>
  <sheetFormatPr defaultColWidth="9.26953125" defaultRowHeight="9"/>
  <cols>
    <col min="1" max="1" width="20" style="13" customWidth="1"/>
    <col min="2" max="2" width="5.7265625" style="13" customWidth="1"/>
    <col min="3" max="3" width="4.7265625" style="13" customWidth="1"/>
    <col min="4" max="4" width="0.7265625" style="13" customWidth="1"/>
    <col min="5" max="5" width="5.7265625" style="13" customWidth="1"/>
    <col min="6" max="6" width="4.7265625" style="13" customWidth="1"/>
    <col min="7" max="7" width="0.7265625" style="13" customWidth="1"/>
    <col min="8" max="8" width="5.7265625" style="13" customWidth="1"/>
    <col min="9" max="9" width="4.7265625" style="13" customWidth="1"/>
    <col min="10" max="10" width="0.7265625" style="13" customWidth="1"/>
    <col min="11" max="11" width="5.7265625" style="13" customWidth="1"/>
    <col min="12" max="12" width="4.7265625" style="13" customWidth="1"/>
    <col min="13" max="13" width="0.7265625" style="13" customWidth="1"/>
    <col min="14" max="14" width="5.7265625" style="13" customWidth="1"/>
    <col min="15" max="15" width="5.453125" style="13" customWidth="1"/>
    <col min="16" max="16" width="0.7265625" style="13" customWidth="1"/>
    <col min="17" max="17" width="5.7265625" style="13" customWidth="1"/>
    <col min="18" max="18" width="4.7265625" style="13" customWidth="1"/>
    <col min="19" max="19" width="9.26953125" style="13"/>
    <col min="20" max="20" width="12.81640625" style="13" hidden="1" customWidth="1"/>
    <col min="21" max="21" width="6.54296875" style="13" hidden="1" customWidth="1"/>
    <col min="22" max="22" width="4" style="13" hidden="1" customWidth="1"/>
    <col min="23" max="23" width="2.453125" style="13" hidden="1" customWidth="1"/>
    <col min="24" max="24" width="8.26953125" style="13" hidden="1" customWidth="1"/>
    <col min="25" max="25" width="5.7265625" style="13" hidden="1" customWidth="1"/>
    <col min="26" max="26" width="1.453125" style="13" hidden="1" customWidth="1"/>
    <col min="27" max="27" width="7" style="13" hidden="1" customWidth="1"/>
    <col min="28" max="28" width="5.1796875" style="13" hidden="1" customWidth="1"/>
    <col min="29" max="29" width="1.7265625" style="13" hidden="1" customWidth="1"/>
    <col min="30" max="30" width="7.1796875" style="13" hidden="1" customWidth="1"/>
    <col min="31" max="31" width="7.54296875" style="13" hidden="1" customWidth="1"/>
    <col min="32" max="32" width="1.453125" style="13" hidden="1" customWidth="1"/>
    <col min="33" max="33" width="7.1796875" style="13" hidden="1" customWidth="1"/>
    <col min="34" max="34" width="4.7265625" style="13" hidden="1" customWidth="1"/>
    <col min="35" max="35" width="1.7265625" style="13" hidden="1" customWidth="1"/>
    <col min="36" max="36" width="7.26953125" style="13" hidden="1" customWidth="1"/>
    <col min="37" max="37" width="6.1796875" style="13" hidden="1" customWidth="1"/>
    <col min="38" max="16384" width="9.26953125" style="13"/>
  </cols>
  <sheetData>
    <row r="1" spans="1:37" s="41" customFormat="1" ht="12.75" customHeight="1"/>
    <row r="2" spans="1:37" s="41" customFormat="1" ht="12.75" customHeight="1"/>
    <row r="3" spans="1:37" s="41" customFormat="1" ht="12.5">
      <c r="A3" s="42"/>
    </row>
    <row r="4" spans="1:37" s="44" customFormat="1" ht="12" customHeight="1">
      <c r="A4" s="58" t="s">
        <v>45</v>
      </c>
      <c r="B4" s="43"/>
      <c r="C4" s="43"/>
      <c r="D4" s="43"/>
      <c r="E4" s="43"/>
      <c r="F4" s="43"/>
      <c r="G4" s="43"/>
      <c r="H4" s="43"/>
      <c r="I4" s="43"/>
      <c r="J4" s="43"/>
      <c r="K4" s="43"/>
      <c r="L4" s="43"/>
      <c r="M4" s="43"/>
      <c r="P4" s="43"/>
      <c r="T4" s="58" t="s">
        <v>45</v>
      </c>
      <c r="U4" s="43"/>
      <c r="V4" s="43"/>
      <c r="W4" s="43"/>
      <c r="X4" s="43"/>
      <c r="Y4" s="43"/>
      <c r="Z4" s="43"/>
      <c r="AA4" s="43"/>
      <c r="AB4" s="43"/>
      <c r="AC4" s="43"/>
      <c r="AD4" s="43"/>
      <c r="AE4" s="43"/>
      <c r="AF4" s="43"/>
      <c r="AI4" s="43"/>
    </row>
    <row r="5" spans="1:37" s="44" customFormat="1" ht="24" customHeight="1">
      <c r="A5" s="707" t="s">
        <v>528</v>
      </c>
      <c r="B5" s="692"/>
      <c r="C5" s="692"/>
      <c r="D5" s="692"/>
      <c r="E5" s="692"/>
      <c r="F5" s="692"/>
      <c r="G5" s="692"/>
      <c r="H5" s="692"/>
      <c r="I5" s="692"/>
      <c r="J5" s="692"/>
      <c r="K5" s="692"/>
      <c r="L5" s="692"/>
      <c r="M5" s="692"/>
      <c r="N5" s="692"/>
      <c r="O5" s="692"/>
      <c r="P5" s="692"/>
      <c r="Q5" s="692"/>
      <c r="R5" s="692"/>
      <c r="T5" s="707" t="s">
        <v>528</v>
      </c>
      <c r="U5" s="692"/>
      <c r="V5" s="692"/>
      <c r="W5" s="692"/>
      <c r="X5" s="692"/>
      <c r="Y5" s="692"/>
      <c r="Z5" s="692"/>
      <c r="AA5" s="692"/>
      <c r="AB5" s="692"/>
      <c r="AC5" s="692"/>
      <c r="AD5" s="692"/>
      <c r="AE5" s="692"/>
      <c r="AF5" s="692"/>
      <c r="AG5" s="692"/>
      <c r="AH5" s="692"/>
      <c r="AI5" s="692"/>
      <c r="AJ5" s="692"/>
      <c r="AK5" s="692"/>
    </row>
    <row r="6" spans="1:37" s="44" customFormat="1" ht="12" customHeight="1">
      <c r="A6" s="47" t="s">
        <v>11</v>
      </c>
      <c r="T6" s="47" t="s">
        <v>32</v>
      </c>
    </row>
    <row r="7" spans="1:37" s="41" customFormat="1" ht="6" customHeight="1">
      <c r="A7" s="45"/>
      <c r="B7" s="46"/>
      <c r="C7" s="46"/>
      <c r="D7" s="46"/>
      <c r="E7" s="46"/>
      <c r="F7" s="46"/>
      <c r="G7" s="46"/>
      <c r="H7" s="46"/>
      <c r="I7" s="46"/>
      <c r="J7" s="46"/>
      <c r="K7" s="46"/>
      <c r="L7" s="46"/>
      <c r="M7" s="46"/>
      <c r="N7" s="46"/>
      <c r="O7" s="46"/>
      <c r="P7" s="46"/>
      <c r="Q7" s="46"/>
      <c r="R7" s="46"/>
      <c r="T7" s="45"/>
      <c r="U7" s="46"/>
      <c r="V7" s="46"/>
      <c r="W7" s="46"/>
      <c r="X7" s="46"/>
      <c r="Y7" s="46"/>
      <c r="Z7" s="46"/>
      <c r="AA7" s="46"/>
      <c r="AB7" s="46"/>
      <c r="AC7" s="46"/>
      <c r="AD7" s="46"/>
      <c r="AE7" s="46"/>
      <c r="AF7" s="46"/>
      <c r="AG7" s="46"/>
      <c r="AH7" s="46"/>
      <c r="AI7" s="46"/>
      <c r="AJ7" s="46"/>
      <c r="AK7" s="46"/>
    </row>
    <row r="8" spans="1:37" ht="12" customHeight="1">
      <c r="A8" s="741" t="s">
        <v>529</v>
      </c>
      <c r="B8" s="736" t="s">
        <v>454</v>
      </c>
      <c r="C8" s="736"/>
      <c r="D8" s="736"/>
      <c r="E8" s="736"/>
      <c r="F8" s="736"/>
      <c r="G8" s="590"/>
      <c r="H8" s="736" t="s">
        <v>434</v>
      </c>
      <c r="I8" s="736"/>
      <c r="J8" s="736"/>
      <c r="K8" s="736"/>
      <c r="L8" s="736"/>
      <c r="M8" s="590"/>
      <c r="N8" s="736" t="s">
        <v>58</v>
      </c>
      <c r="O8" s="736"/>
      <c r="P8" s="736"/>
      <c r="Q8" s="736"/>
      <c r="R8" s="736"/>
      <c r="T8" s="741" t="s">
        <v>529</v>
      </c>
      <c r="U8" s="736" t="s">
        <v>454</v>
      </c>
      <c r="V8" s="736"/>
      <c r="W8" s="736"/>
      <c r="X8" s="736"/>
      <c r="Y8" s="736"/>
      <c r="Z8" s="590"/>
      <c r="AA8" s="736" t="s">
        <v>434</v>
      </c>
      <c r="AB8" s="736"/>
      <c r="AC8" s="736"/>
      <c r="AD8" s="736"/>
      <c r="AE8" s="736"/>
      <c r="AF8" s="590"/>
      <c r="AG8" s="736" t="s">
        <v>58</v>
      </c>
      <c r="AH8" s="736"/>
      <c r="AI8" s="736"/>
      <c r="AJ8" s="736"/>
      <c r="AK8" s="736"/>
    </row>
    <row r="9" spans="1:37" ht="12" customHeight="1">
      <c r="A9" s="742"/>
      <c r="B9" s="737" t="s">
        <v>124</v>
      </c>
      <c r="C9" s="737" t="s">
        <v>363</v>
      </c>
      <c r="D9" s="14"/>
      <c r="E9" s="750" t="s">
        <v>530</v>
      </c>
      <c r="F9" s="750"/>
      <c r="G9" s="14"/>
      <c r="H9" s="737" t="s">
        <v>124</v>
      </c>
      <c r="I9" s="737" t="s">
        <v>363</v>
      </c>
      <c r="J9" s="14"/>
      <c r="K9" s="750" t="s">
        <v>530</v>
      </c>
      <c r="L9" s="750"/>
      <c r="M9" s="14"/>
      <c r="N9" s="737" t="s">
        <v>124</v>
      </c>
      <c r="O9" s="737" t="s">
        <v>363</v>
      </c>
      <c r="P9" s="14"/>
      <c r="Q9" s="750" t="s">
        <v>530</v>
      </c>
      <c r="R9" s="750"/>
      <c r="T9" s="742"/>
      <c r="U9" s="737" t="s">
        <v>124</v>
      </c>
      <c r="V9" s="737" t="s">
        <v>363</v>
      </c>
      <c r="W9" s="14"/>
      <c r="X9" s="750" t="s">
        <v>530</v>
      </c>
      <c r="Y9" s="750"/>
      <c r="Z9" s="14"/>
      <c r="AA9" s="737" t="s">
        <v>124</v>
      </c>
      <c r="AB9" s="737" t="s">
        <v>363</v>
      </c>
      <c r="AC9" s="14"/>
      <c r="AD9" s="750" t="s">
        <v>530</v>
      </c>
      <c r="AE9" s="750"/>
      <c r="AF9" s="14"/>
      <c r="AG9" s="737" t="s">
        <v>124</v>
      </c>
      <c r="AH9" s="737" t="s">
        <v>363</v>
      </c>
      <c r="AI9" s="14"/>
      <c r="AJ9" s="750" t="s">
        <v>530</v>
      </c>
      <c r="AK9" s="750"/>
    </row>
    <row r="10" spans="1:37" ht="12" customHeight="1">
      <c r="A10" s="756"/>
      <c r="B10" s="738"/>
      <c r="C10" s="738"/>
      <c r="D10" s="15"/>
      <c r="E10" s="271" t="s">
        <v>58</v>
      </c>
      <c r="F10" s="271" t="s">
        <v>363</v>
      </c>
      <c r="G10" s="15"/>
      <c r="H10" s="738"/>
      <c r="I10" s="738"/>
      <c r="J10" s="15"/>
      <c r="K10" s="271" t="s">
        <v>58</v>
      </c>
      <c r="L10" s="271" t="s">
        <v>363</v>
      </c>
      <c r="M10" s="15"/>
      <c r="N10" s="738"/>
      <c r="O10" s="738"/>
      <c r="P10" s="15"/>
      <c r="Q10" s="271" t="s">
        <v>58</v>
      </c>
      <c r="R10" s="271" t="s">
        <v>363</v>
      </c>
      <c r="T10" s="756"/>
      <c r="U10" s="738"/>
      <c r="V10" s="738"/>
      <c r="W10" s="15"/>
      <c r="X10" s="271" t="s">
        <v>58</v>
      </c>
      <c r="Y10" s="271" t="s">
        <v>363</v>
      </c>
      <c r="Z10" s="15"/>
      <c r="AA10" s="738"/>
      <c r="AB10" s="738"/>
      <c r="AC10" s="15"/>
      <c r="AD10" s="271" t="s">
        <v>58</v>
      </c>
      <c r="AE10" s="271" t="s">
        <v>363</v>
      </c>
      <c r="AF10" s="15"/>
      <c r="AG10" s="738"/>
      <c r="AH10" s="738"/>
      <c r="AI10" s="15"/>
      <c r="AJ10" s="271" t="s">
        <v>58</v>
      </c>
      <c r="AK10" s="271" t="s">
        <v>363</v>
      </c>
    </row>
    <row r="11" spans="1:37" ht="3" customHeight="1">
      <c r="A11" s="16"/>
      <c r="B11" s="17"/>
      <c r="C11" s="17"/>
      <c r="D11" s="17"/>
      <c r="E11" s="17"/>
      <c r="F11" s="17"/>
      <c r="G11" s="17"/>
      <c r="H11" s="17"/>
      <c r="I11" s="17"/>
      <c r="J11" s="17"/>
      <c r="K11" s="17"/>
      <c r="L11" s="17"/>
      <c r="M11" s="17"/>
      <c r="N11" s="17"/>
      <c r="O11" s="17"/>
      <c r="P11" s="17"/>
      <c r="Q11" s="17"/>
      <c r="R11" s="17"/>
      <c r="T11" s="16"/>
      <c r="U11" s="17"/>
      <c r="V11" s="17"/>
      <c r="W11" s="17"/>
      <c r="X11" s="17"/>
      <c r="Y11" s="17"/>
      <c r="Z11" s="17"/>
      <c r="AA11" s="17"/>
      <c r="AB11" s="17"/>
      <c r="AC11" s="17"/>
      <c r="AD11" s="17"/>
      <c r="AE11" s="17"/>
      <c r="AF11" s="17"/>
      <c r="AG11" s="17"/>
      <c r="AH11" s="17"/>
      <c r="AI11" s="17"/>
      <c r="AJ11" s="17"/>
      <c r="AK11" s="17"/>
    </row>
    <row r="12" spans="1:37" ht="10.15" customHeight="1">
      <c r="A12" s="23"/>
      <c r="B12" s="752" t="s">
        <v>503</v>
      </c>
      <c r="C12" s="752"/>
      <c r="D12" s="752"/>
      <c r="E12" s="752"/>
      <c r="F12" s="752"/>
      <c r="G12" s="752"/>
      <c r="H12" s="752"/>
      <c r="I12" s="752"/>
      <c r="J12" s="752"/>
      <c r="K12" s="752"/>
      <c r="L12" s="752"/>
      <c r="M12" s="752"/>
      <c r="N12" s="752"/>
      <c r="O12" s="752"/>
      <c r="P12" s="752"/>
      <c r="Q12" s="752"/>
      <c r="R12" s="752"/>
      <c r="T12" s="23"/>
      <c r="U12" s="752" t="s">
        <v>503</v>
      </c>
      <c r="V12" s="752"/>
      <c r="W12" s="752"/>
      <c r="X12" s="752"/>
      <c r="Y12" s="752"/>
      <c r="Z12" s="752"/>
      <c r="AA12" s="752"/>
      <c r="AB12" s="752"/>
      <c r="AC12" s="752"/>
      <c r="AD12" s="752"/>
      <c r="AE12" s="752"/>
      <c r="AF12" s="752"/>
      <c r="AG12" s="752"/>
      <c r="AH12" s="752"/>
      <c r="AI12" s="752"/>
      <c r="AJ12" s="752"/>
      <c r="AK12" s="752"/>
    </row>
    <row r="13" spans="1:37" ht="3" customHeight="1">
      <c r="A13" s="16"/>
      <c r="B13" s="17"/>
      <c r="C13" s="17"/>
      <c r="D13" s="17"/>
      <c r="E13" s="17"/>
      <c r="F13" s="17"/>
      <c r="G13" s="17"/>
      <c r="H13" s="17"/>
      <c r="I13" s="17"/>
      <c r="J13" s="17"/>
      <c r="K13" s="17"/>
      <c r="L13" s="17"/>
      <c r="M13" s="17"/>
      <c r="N13" s="17"/>
      <c r="O13" s="17"/>
      <c r="P13" s="17"/>
      <c r="Q13" s="17"/>
      <c r="R13" s="17"/>
      <c r="T13" s="16"/>
      <c r="U13" s="17"/>
      <c r="V13" s="17"/>
      <c r="W13" s="17"/>
      <c r="X13" s="17"/>
      <c r="Y13" s="17"/>
      <c r="Z13" s="17"/>
      <c r="AA13" s="17"/>
      <c r="AB13" s="17"/>
      <c r="AC13" s="17"/>
      <c r="AD13" s="17"/>
      <c r="AE13" s="17"/>
      <c r="AF13" s="17"/>
      <c r="AG13" s="17"/>
      <c r="AH13" s="17"/>
      <c r="AI13" s="17"/>
      <c r="AJ13" s="17"/>
      <c r="AK13" s="17"/>
    </row>
    <row r="14" spans="1:37" ht="10.15" customHeight="1">
      <c r="A14" s="118" t="s">
        <v>365</v>
      </c>
      <c r="B14" s="3">
        <v>134</v>
      </c>
      <c r="C14" s="1">
        <v>53.6</v>
      </c>
      <c r="D14" s="3"/>
      <c r="E14" s="3">
        <v>8</v>
      </c>
      <c r="F14" s="1">
        <v>5.9701492537313428</v>
      </c>
      <c r="G14" s="3"/>
      <c r="H14" s="3">
        <v>116</v>
      </c>
      <c r="I14" s="1">
        <v>46.400000000000006</v>
      </c>
      <c r="J14" s="3"/>
      <c r="K14" s="3">
        <v>5</v>
      </c>
      <c r="L14" s="1">
        <v>4.3103448275862073</v>
      </c>
      <c r="M14" s="3"/>
      <c r="N14" s="3">
        <v>250</v>
      </c>
      <c r="O14" s="1">
        <v>100</v>
      </c>
      <c r="P14" s="3"/>
      <c r="Q14" s="3">
        <v>13</v>
      </c>
      <c r="R14" s="1">
        <v>5.2</v>
      </c>
      <c r="T14" s="118" t="s">
        <v>365</v>
      </c>
      <c r="U14" s="3">
        <v>96</v>
      </c>
      <c r="V14" s="1">
        <v>50.793650793650791</v>
      </c>
      <c r="W14" s="3"/>
      <c r="X14" s="3">
        <v>4</v>
      </c>
      <c r="Y14" s="1">
        <v>4.1666666666666661</v>
      </c>
      <c r="Z14" s="3"/>
      <c r="AA14" s="3">
        <v>93</v>
      </c>
      <c r="AB14" s="1">
        <v>49.206349206349202</v>
      </c>
      <c r="AC14" s="3"/>
      <c r="AD14" s="3">
        <v>4</v>
      </c>
      <c r="AE14" s="1">
        <v>4.3010752688172049</v>
      </c>
      <c r="AF14" s="3"/>
      <c r="AG14" s="3">
        <v>189</v>
      </c>
      <c r="AH14" s="1">
        <v>100</v>
      </c>
      <c r="AI14" s="3"/>
      <c r="AJ14" s="3">
        <v>8</v>
      </c>
      <c r="AK14" s="1">
        <v>4.2328042328042326</v>
      </c>
    </row>
    <row r="15" spans="1:37" ht="10.15" customHeight="1">
      <c r="A15" s="118" t="s">
        <v>531</v>
      </c>
      <c r="B15" s="3">
        <v>297</v>
      </c>
      <c r="C15" s="1">
        <v>41.949152542372879</v>
      </c>
      <c r="D15" s="3"/>
      <c r="E15" s="3">
        <v>31</v>
      </c>
      <c r="F15" s="1">
        <v>10.437710437710438</v>
      </c>
      <c r="G15" s="3"/>
      <c r="H15" s="3">
        <v>411</v>
      </c>
      <c r="I15" s="1">
        <v>58.050847457627121</v>
      </c>
      <c r="J15" s="3"/>
      <c r="K15" s="3">
        <v>41</v>
      </c>
      <c r="L15" s="1">
        <v>9.9756690997566917</v>
      </c>
      <c r="M15" s="3"/>
      <c r="N15" s="3">
        <v>708</v>
      </c>
      <c r="O15" s="1">
        <v>100</v>
      </c>
      <c r="P15" s="3"/>
      <c r="Q15" s="3">
        <v>72</v>
      </c>
      <c r="R15" s="1">
        <v>10.16949152542373</v>
      </c>
      <c r="T15" s="118" t="s">
        <v>531</v>
      </c>
      <c r="U15" s="3">
        <v>208</v>
      </c>
      <c r="V15" s="1">
        <v>37.010676156583628</v>
      </c>
      <c r="W15" s="3"/>
      <c r="X15" s="3">
        <v>12</v>
      </c>
      <c r="Y15" s="1">
        <v>5.7692307692307692</v>
      </c>
      <c r="Z15" s="3"/>
      <c r="AA15" s="3">
        <v>354</v>
      </c>
      <c r="AB15" s="1">
        <v>62.989323843416365</v>
      </c>
      <c r="AC15" s="3"/>
      <c r="AD15" s="3">
        <v>27</v>
      </c>
      <c r="AE15" s="1">
        <v>7.6271186440677967</v>
      </c>
      <c r="AF15" s="3"/>
      <c r="AG15" s="3">
        <v>562</v>
      </c>
      <c r="AH15" s="1">
        <v>100</v>
      </c>
      <c r="AI15" s="3"/>
      <c r="AJ15" s="3">
        <v>39</v>
      </c>
      <c r="AK15" s="1">
        <v>6.9395017793594302</v>
      </c>
    </row>
    <row r="16" spans="1:37" ht="20.149999999999999" customHeight="1">
      <c r="A16" s="33" t="s">
        <v>532</v>
      </c>
      <c r="B16" s="3">
        <v>269</v>
      </c>
      <c r="C16" s="1">
        <v>71.542553191489361</v>
      </c>
      <c r="D16" s="3"/>
      <c r="E16" s="3">
        <v>7</v>
      </c>
      <c r="F16" s="1">
        <v>2.6022304832713754</v>
      </c>
      <c r="G16" s="3"/>
      <c r="H16" s="3">
        <v>107</v>
      </c>
      <c r="I16" s="1">
        <v>28.457446808510639</v>
      </c>
      <c r="J16" s="3"/>
      <c r="K16" s="3">
        <v>1</v>
      </c>
      <c r="L16" s="1">
        <v>0.93457943925233633</v>
      </c>
      <c r="M16" s="3"/>
      <c r="N16" s="3">
        <v>376</v>
      </c>
      <c r="O16" s="1">
        <v>100</v>
      </c>
      <c r="P16" s="3"/>
      <c r="Q16" s="3">
        <v>8</v>
      </c>
      <c r="R16" s="1">
        <v>2.1276595744680851</v>
      </c>
      <c r="T16" s="33" t="s">
        <v>532</v>
      </c>
      <c r="U16" s="3">
        <v>224</v>
      </c>
      <c r="V16" s="1">
        <v>75.420875420875419</v>
      </c>
      <c r="W16" s="3"/>
      <c r="X16" s="3">
        <v>6</v>
      </c>
      <c r="Y16" s="1">
        <v>2.6785714285714284</v>
      </c>
      <c r="Z16" s="3"/>
      <c r="AA16" s="3">
        <v>73</v>
      </c>
      <c r="AB16" s="1">
        <v>24.579124579124578</v>
      </c>
      <c r="AC16" s="3"/>
      <c r="AD16" s="3">
        <v>1</v>
      </c>
      <c r="AE16" s="1">
        <v>1.3698630136986301</v>
      </c>
      <c r="AF16" s="3"/>
      <c r="AG16" s="3">
        <v>297</v>
      </c>
      <c r="AH16" s="1">
        <v>100</v>
      </c>
      <c r="AI16" s="3"/>
      <c r="AJ16" s="3">
        <v>7</v>
      </c>
      <c r="AK16" s="1">
        <v>2.3569023569023568</v>
      </c>
    </row>
    <row r="17" spans="1:37" ht="20.149999999999999" customHeight="1">
      <c r="A17" s="33" t="s">
        <v>533</v>
      </c>
      <c r="B17" s="3">
        <v>43</v>
      </c>
      <c r="C17" s="1">
        <v>100</v>
      </c>
      <c r="D17" s="3"/>
      <c r="E17" s="3">
        <v>0</v>
      </c>
      <c r="F17" s="1">
        <v>0</v>
      </c>
      <c r="G17" s="3"/>
      <c r="H17" s="3">
        <v>0</v>
      </c>
      <c r="I17" s="1">
        <v>0</v>
      </c>
      <c r="J17" s="3"/>
      <c r="K17" s="3">
        <v>0</v>
      </c>
      <c r="L17" s="3">
        <v>0</v>
      </c>
      <c r="M17" s="3"/>
      <c r="N17" s="3">
        <v>43</v>
      </c>
      <c r="O17" s="1">
        <v>100</v>
      </c>
      <c r="P17" s="3"/>
      <c r="Q17" s="3">
        <v>0</v>
      </c>
      <c r="R17" s="3">
        <v>0</v>
      </c>
      <c r="T17" s="33" t="s">
        <v>533</v>
      </c>
      <c r="U17" s="3">
        <v>27</v>
      </c>
      <c r="V17" s="1">
        <v>100</v>
      </c>
      <c r="W17" s="3"/>
      <c r="X17" s="3">
        <v>0</v>
      </c>
      <c r="Y17" s="1" t="s">
        <v>228</v>
      </c>
      <c r="Z17" s="3"/>
      <c r="AA17" s="3">
        <v>0</v>
      </c>
      <c r="AB17" s="1">
        <v>0</v>
      </c>
      <c r="AC17" s="3"/>
      <c r="AD17" s="3">
        <v>0</v>
      </c>
      <c r="AE17" s="1" t="s">
        <v>228</v>
      </c>
      <c r="AF17" s="3"/>
      <c r="AG17" s="3">
        <v>27</v>
      </c>
      <c r="AH17" s="1">
        <v>100</v>
      </c>
      <c r="AI17" s="3"/>
      <c r="AJ17" s="3">
        <v>0</v>
      </c>
      <c r="AK17" s="1" t="s">
        <v>228</v>
      </c>
    </row>
    <row r="18" spans="1:37" ht="20.149999999999999" customHeight="1">
      <c r="A18" s="272" t="s">
        <v>534</v>
      </c>
      <c r="B18" s="3">
        <v>96</v>
      </c>
      <c r="C18" s="1">
        <v>45.933014354066984</v>
      </c>
      <c r="D18" s="3"/>
      <c r="E18" s="3">
        <v>6</v>
      </c>
      <c r="F18" s="1">
        <v>6.25</v>
      </c>
      <c r="G18" s="3"/>
      <c r="H18" s="3">
        <v>113</v>
      </c>
      <c r="I18" s="1">
        <v>54.066985645933016</v>
      </c>
      <c r="J18" s="3"/>
      <c r="K18" s="3">
        <v>4</v>
      </c>
      <c r="L18" s="1">
        <v>3.5398230088495577</v>
      </c>
      <c r="M18" s="3"/>
      <c r="N18" s="3">
        <v>209</v>
      </c>
      <c r="O18" s="1">
        <v>100</v>
      </c>
      <c r="P18" s="3"/>
      <c r="Q18" s="3">
        <v>10</v>
      </c>
      <c r="R18" s="1">
        <v>4.7846889952153111</v>
      </c>
      <c r="T18" s="272" t="s">
        <v>534</v>
      </c>
      <c r="U18" s="3">
        <v>48</v>
      </c>
      <c r="V18" s="1">
        <v>57.142857142857139</v>
      </c>
      <c r="W18" s="3"/>
      <c r="X18" s="3">
        <v>3</v>
      </c>
      <c r="Y18" s="1">
        <v>6.25</v>
      </c>
      <c r="Z18" s="3"/>
      <c r="AA18" s="3">
        <v>36</v>
      </c>
      <c r="AB18" s="1">
        <v>42.857142857142854</v>
      </c>
      <c r="AC18" s="3"/>
      <c r="AD18" s="3">
        <v>4</v>
      </c>
      <c r="AE18" s="1">
        <v>11.111111111111111</v>
      </c>
      <c r="AF18" s="3"/>
      <c r="AG18" s="3">
        <v>84</v>
      </c>
      <c r="AH18" s="1">
        <v>100</v>
      </c>
      <c r="AI18" s="3"/>
      <c r="AJ18" s="3">
        <v>7</v>
      </c>
      <c r="AK18" s="1">
        <v>8.3333333333333321</v>
      </c>
    </row>
    <row r="19" spans="1:37" ht="10.15" customHeight="1">
      <c r="A19" s="29" t="s">
        <v>474</v>
      </c>
      <c r="B19" s="3">
        <v>35</v>
      </c>
      <c r="C19" s="1">
        <v>63.636363636363633</v>
      </c>
      <c r="D19" s="3"/>
      <c r="E19" s="3">
        <v>3</v>
      </c>
      <c r="F19" s="1">
        <v>8.5714285714285712</v>
      </c>
      <c r="G19" s="3"/>
      <c r="H19" s="3">
        <v>20</v>
      </c>
      <c r="I19" s="1">
        <v>36.363636363636367</v>
      </c>
      <c r="J19" s="3"/>
      <c r="K19" s="3">
        <v>2</v>
      </c>
      <c r="L19" s="1">
        <v>10</v>
      </c>
      <c r="M19" s="3"/>
      <c r="N19" s="3">
        <v>55</v>
      </c>
      <c r="O19" s="1">
        <v>100</v>
      </c>
      <c r="P19" s="3"/>
      <c r="Q19" s="3">
        <v>5</v>
      </c>
      <c r="R19" s="1">
        <v>9.0909090909090917</v>
      </c>
      <c r="T19" s="29" t="s">
        <v>474</v>
      </c>
      <c r="U19" s="3">
        <v>19</v>
      </c>
      <c r="V19" s="1">
        <v>46.341463414634148</v>
      </c>
      <c r="W19" s="3"/>
      <c r="X19" s="3">
        <v>1</v>
      </c>
      <c r="Y19" s="1">
        <v>5.2631578947368416</v>
      </c>
      <c r="Z19" s="3"/>
      <c r="AA19" s="3">
        <v>22</v>
      </c>
      <c r="AB19" s="1">
        <v>53.658536585365859</v>
      </c>
      <c r="AC19" s="3"/>
      <c r="AD19" s="3">
        <v>1</v>
      </c>
      <c r="AE19" s="1">
        <v>4.5454545454545459</v>
      </c>
      <c r="AF19" s="3"/>
      <c r="AG19" s="3">
        <v>41</v>
      </c>
      <c r="AH19" s="1">
        <v>100</v>
      </c>
      <c r="AI19" s="3"/>
      <c r="AJ19" s="3">
        <v>2</v>
      </c>
      <c r="AK19" s="1">
        <v>4.8780487804878048</v>
      </c>
    </row>
    <row r="20" spans="1:37" ht="10.15" customHeight="1">
      <c r="A20" s="119" t="s">
        <v>58</v>
      </c>
      <c r="B20" s="5">
        <v>874</v>
      </c>
      <c r="C20" s="6">
        <v>53.260207190737354</v>
      </c>
      <c r="D20" s="5"/>
      <c r="E20" s="5">
        <v>55</v>
      </c>
      <c r="F20" s="6">
        <v>6.2929061784897034</v>
      </c>
      <c r="G20" s="5"/>
      <c r="H20" s="5">
        <v>767</v>
      </c>
      <c r="I20" s="6">
        <v>46.739792809262646</v>
      </c>
      <c r="J20" s="5"/>
      <c r="K20" s="5">
        <v>53</v>
      </c>
      <c r="L20" s="6">
        <v>6.9100391134289438</v>
      </c>
      <c r="M20" s="5"/>
      <c r="N20" s="5">
        <v>1641</v>
      </c>
      <c r="O20" s="6">
        <v>100</v>
      </c>
      <c r="P20" s="5"/>
      <c r="Q20" s="5">
        <v>108</v>
      </c>
      <c r="R20" s="6">
        <v>6.5813528336380251</v>
      </c>
      <c r="T20" s="119" t="s">
        <v>58</v>
      </c>
      <c r="U20" s="5">
        <v>622</v>
      </c>
      <c r="V20" s="6">
        <v>51.833333333333329</v>
      </c>
      <c r="W20" s="5"/>
      <c r="X20" s="5">
        <v>26</v>
      </c>
      <c r="Y20" s="6">
        <v>4.180064308681672</v>
      </c>
      <c r="Z20" s="5"/>
      <c r="AA20" s="5">
        <v>578</v>
      </c>
      <c r="AB20" s="6">
        <v>48.166666666666671</v>
      </c>
      <c r="AC20" s="5"/>
      <c r="AD20" s="5">
        <v>37</v>
      </c>
      <c r="AE20" s="6">
        <v>6.4013840830449826</v>
      </c>
      <c r="AF20" s="5"/>
      <c r="AG20" s="5">
        <v>1200</v>
      </c>
      <c r="AH20" s="6">
        <v>100</v>
      </c>
      <c r="AI20" s="5"/>
      <c r="AJ20" s="5">
        <v>63</v>
      </c>
      <c r="AK20" s="6">
        <v>5.25</v>
      </c>
    </row>
    <row r="21" spans="1:37" ht="3" customHeight="1">
      <c r="A21" s="16"/>
      <c r="B21" s="17"/>
      <c r="C21" s="17"/>
      <c r="D21" s="17"/>
      <c r="E21" s="17"/>
      <c r="F21" s="17"/>
      <c r="G21" s="17"/>
      <c r="H21" s="17"/>
      <c r="I21" s="17"/>
      <c r="J21" s="17"/>
      <c r="K21" s="17"/>
      <c r="L21" s="17"/>
      <c r="M21" s="17"/>
      <c r="N21" s="17"/>
      <c r="O21" s="17"/>
      <c r="P21" s="17"/>
      <c r="Q21" s="17"/>
      <c r="R21" s="17"/>
      <c r="T21" s="16"/>
      <c r="U21" s="17"/>
      <c r="V21" s="17"/>
      <c r="W21" s="17"/>
      <c r="X21" s="17"/>
      <c r="Y21" s="17"/>
      <c r="Z21" s="17"/>
      <c r="AA21" s="17"/>
      <c r="AB21" s="17"/>
      <c r="AC21" s="17"/>
      <c r="AD21" s="17"/>
      <c r="AE21" s="17"/>
      <c r="AF21" s="17"/>
      <c r="AG21" s="17"/>
      <c r="AH21" s="17"/>
      <c r="AI21" s="17"/>
      <c r="AJ21" s="17"/>
      <c r="AK21" s="17"/>
    </row>
    <row r="22" spans="1:37" ht="10.15" customHeight="1">
      <c r="A22" s="23"/>
      <c r="B22" s="752" t="s">
        <v>507</v>
      </c>
      <c r="C22" s="752"/>
      <c r="D22" s="752"/>
      <c r="E22" s="752"/>
      <c r="F22" s="752"/>
      <c r="G22" s="752"/>
      <c r="H22" s="752"/>
      <c r="I22" s="752"/>
      <c r="J22" s="752"/>
      <c r="K22" s="752"/>
      <c r="L22" s="752"/>
      <c r="M22" s="752"/>
      <c r="N22" s="752"/>
      <c r="O22" s="752"/>
      <c r="P22" s="752"/>
      <c r="Q22" s="752"/>
      <c r="R22" s="752"/>
      <c r="T22" s="23"/>
      <c r="U22" s="752" t="s">
        <v>507</v>
      </c>
      <c r="V22" s="752"/>
      <c r="W22" s="752"/>
      <c r="X22" s="752"/>
      <c r="Y22" s="752"/>
      <c r="Z22" s="752"/>
      <c r="AA22" s="752"/>
      <c r="AB22" s="752"/>
      <c r="AC22" s="752"/>
      <c r="AD22" s="752"/>
      <c r="AE22" s="752"/>
      <c r="AF22" s="752"/>
      <c r="AG22" s="752"/>
      <c r="AH22" s="752"/>
      <c r="AI22" s="752"/>
      <c r="AJ22" s="752"/>
      <c r="AK22" s="752"/>
    </row>
    <row r="23" spans="1:37" ht="3" customHeight="1">
      <c r="A23" s="16"/>
      <c r="B23" s="17"/>
      <c r="C23" s="17"/>
      <c r="D23" s="17"/>
      <c r="E23" s="17"/>
      <c r="F23" s="17"/>
      <c r="G23" s="17"/>
      <c r="H23" s="17"/>
      <c r="I23" s="17"/>
      <c r="J23" s="17"/>
      <c r="K23" s="17"/>
      <c r="L23" s="17"/>
      <c r="M23" s="17"/>
      <c r="N23" s="17"/>
      <c r="O23" s="17"/>
      <c r="P23" s="17"/>
      <c r="Q23" s="17"/>
      <c r="R23" s="17"/>
      <c r="T23" s="16"/>
      <c r="U23" s="17"/>
      <c r="V23" s="17"/>
      <c r="W23" s="17"/>
      <c r="X23" s="17"/>
      <c r="Y23" s="17"/>
      <c r="Z23" s="17"/>
      <c r="AA23" s="17"/>
      <c r="AB23" s="17"/>
      <c r="AC23" s="17"/>
      <c r="AD23" s="17"/>
      <c r="AE23" s="17"/>
      <c r="AF23" s="17"/>
      <c r="AG23" s="17"/>
      <c r="AH23" s="17"/>
      <c r="AI23" s="17"/>
      <c r="AJ23" s="17"/>
      <c r="AK23" s="17"/>
    </row>
    <row r="24" spans="1:37" ht="10.15" customHeight="1">
      <c r="A24" s="118" t="s">
        <v>365</v>
      </c>
      <c r="B24" s="3">
        <v>449</v>
      </c>
      <c r="C24" s="1">
        <v>61.338797814207645</v>
      </c>
      <c r="D24" s="3"/>
      <c r="E24" s="3">
        <v>31</v>
      </c>
      <c r="F24" s="1">
        <v>6.9042316258351892</v>
      </c>
      <c r="G24" s="3"/>
      <c r="H24" s="3">
        <v>283</v>
      </c>
      <c r="I24" s="1">
        <v>38.661202185792348</v>
      </c>
      <c r="J24" s="3"/>
      <c r="K24" s="3">
        <v>13</v>
      </c>
      <c r="L24" s="1">
        <v>4.5936395759717312</v>
      </c>
      <c r="M24" s="3"/>
      <c r="N24" s="3">
        <v>732</v>
      </c>
      <c r="O24" s="1">
        <v>100</v>
      </c>
      <c r="P24" s="3"/>
      <c r="Q24" s="3">
        <v>44</v>
      </c>
      <c r="R24" s="1">
        <v>6.0109289617486334</v>
      </c>
      <c r="T24" s="118" t="s">
        <v>365</v>
      </c>
      <c r="U24" s="3">
        <v>444</v>
      </c>
      <c r="V24" s="1">
        <v>62.711864406779661</v>
      </c>
      <c r="W24" s="3"/>
      <c r="X24" s="3">
        <v>22</v>
      </c>
      <c r="Y24" s="1">
        <v>4.954954954954955</v>
      </c>
      <c r="Z24" s="3"/>
      <c r="AA24" s="3">
        <v>264</v>
      </c>
      <c r="AB24" s="1">
        <v>37.288135593220339</v>
      </c>
      <c r="AC24" s="3"/>
      <c r="AD24" s="3">
        <v>15</v>
      </c>
      <c r="AE24" s="1">
        <v>5.6818181818181817</v>
      </c>
      <c r="AF24" s="3"/>
      <c r="AG24" s="3">
        <v>708</v>
      </c>
      <c r="AH24" s="1">
        <v>100</v>
      </c>
      <c r="AI24" s="3"/>
      <c r="AJ24" s="3">
        <v>37</v>
      </c>
      <c r="AK24" s="1">
        <v>5.2259887005649714</v>
      </c>
    </row>
    <row r="25" spans="1:37" ht="10.15" customHeight="1">
      <c r="A25" s="118" t="s">
        <v>531</v>
      </c>
      <c r="B25" s="3">
        <v>696</v>
      </c>
      <c r="C25" s="1">
        <v>50.3982621288921</v>
      </c>
      <c r="D25" s="3"/>
      <c r="E25" s="3">
        <v>48</v>
      </c>
      <c r="F25" s="1">
        <v>6.8965517241379306</v>
      </c>
      <c r="G25" s="3"/>
      <c r="H25" s="3">
        <v>685</v>
      </c>
      <c r="I25" s="1">
        <v>49.601737871107893</v>
      </c>
      <c r="J25" s="3"/>
      <c r="K25" s="3">
        <v>23</v>
      </c>
      <c r="L25" s="1">
        <v>3.3576642335766427</v>
      </c>
      <c r="M25" s="3"/>
      <c r="N25" s="3">
        <v>1381</v>
      </c>
      <c r="O25" s="1">
        <v>100</v>
      </c>
      <c r="P25" s="3"/>
      <c r="Q25" s="3">
        <v>71</v>
      </c>
      <c r="R25" s="1">
        <v>5.1412020275162922</v>
      </c>
      <c r="T25" s="118" t="s">
        <v>531</v>
      </c>
      <c r="U25" s="3">
        <v>751</v>
      </c>
      <c r="V25" s="1">
        <v>50.915254237288131</v>
      </c>
      <c r="W25" s="3"/>
      <c r="X25" s="3">
        <v>47</v>
      </c>
      <c r="Y25" s="1">
        <v>6.2583222370173104</v>
      </c>
      <c r="Z25" s="3"/>
      <c r="AA25" s="3">
        <v>724</v>
      </c>
      <c r="AB25" s="1">
        <v>49.084745762711862</v>
      </c>
      <c r="AC25" s="3"/>
      <c r="AD25" s="3">
        <v>31</v>
      </c>
      <c r="AE25" s="1">
        <v>4.2817679558011053</v>
      </c>
      <c r="AF25" s="3"/>
      <c r="AG25" s="3">
        <v>1475</v>
      </c>
      <c r="AH25" s="1">
        <v>100</v>
      </c>
      <c r="AI25" s="3"/>
      <c r="AJ25" s="3">
        <v>78</v>
      </c>
      <c r="AK25" s="1">
        <v>5.2881355932203391</v>
      </c>
    </row>
    <row r="26" spans="1:37" ht="20.149999999999999" customHeight="1">
      <c r="A26" s="33" t="s">
        <v>532</v>
      </c>
      <c r="B26" s="3">
        <v>323</v>
      </c>
      <c r="C26" s="1">
        <v>73.076923076923066</v>
      </c>
      <c r="D26" s="3"/>
      <c r="E26" s="3">
        <v>6</v>
      </c>
      <c r="F26" s="1">
        <v>1.8575851393188854</v>
      </c>
      <c r="G26" s="3"/>
      <c r="H26" s="3">
        <v>119</v>
      </c>
      <c r="I26" s="1">
        <v>26.923076923076923</v>
      </c>
      <c r="J26" s="3"/>
      <c r="K26" s="3">
        <v>1</v>
      </c>
      <c r="L26" s="1">
        <v>0.84033613445378152</v>
      </c>
      <c r="M26" s="3"/>
      <c r="N26" s="3">
        <v>442</v>
      </c>
      <c r="O26" s="1">
        <v>100</v>
      </c>
      <c r="P26" s="3"/>
      <c r="Q26" s="3">
        <v>7</v>
      </c>
      <c r="R26" s="1">
        <v>1.5837104072398189</v>
      </c>
      <c r="T26" s="33" t="s">
        <v>532</v>
      </c>
      <c r="U26" s="3">
        <v>267</v>
      </c>
      <c r="V26" s="1">
        <v>74.58100558659217</v>
      </c>
      <c r="W26" s="3"/>
      <c r="X26" s="3">
        <v>9</v>
      </c>
      <c r="Y26" s="1">
        <v>3.3707865168539324</v>
      </c>
      <c r="Z26" s="3"/>
      <c r="AA26" s="3">
        <v>91</v>
      </c>
      <c r="AB26" s="1">
        <v>25.41899441340782</v>
      </c>
      <c r="AC26" s="3"/>
      <c r="AD26" s="3">
        <v>1</v>
      </c>
      <c r="AE26" s="1">
        <v>1.098901098901099</v>
      </c>
      <c r="AF26" s="3"/>
      <c r="AG26" s="3">
        <v>358</v>
      </c>
      <c r="AH26" s="1">
        <v>100</v>
      </c>
      <c r="AI26" s="3"/>
      <c r="AJ26" s="3">
        <v>10</v>
      </c>
      <c r="AK26" s="1">
        <v>2.7932960893854748</v>
      </c>
    </row>
    <row r="27" spans="1:37" ht="20.149999999999999" customHeight="1">
      <c r="A27" s="33" t="s">
        <v>533</v>
      </c>
      <c r="B27" s="3">
        <v>43</v>
      </c>
      <c r="C27" s="1">
        <v>100</v>
      </c>
      <c r="D27" s="3"/>
      <c r="E27" s="3">
        <v>0</v>
      </c>
      <c r="F27" s="1">
        <v>0</v>
      </c>
      <c r="G27" s="3"/>
      <c r="H27" s="3">
        <v>0</v>
      </c>
      <c r="I27" s="1">
        <v>0</v>
      </c>
      <c r="J27" s="3"/>
      <c r="K27" s="3">
        <v>0</v>
      </c>
      <c r="L27" s="3">
        <v>0</v>
      </c>
      <c r="M27" s="3"/>
      <c r="N27" s="3">
        <v>43</v>
      </c>
      <c r="O27" s="1">
        <v>100</v>
      </c>
      <c r="P27" s="3"/>
      <c r="Q27" s="3">
        <v>0</v>
      </c>
      <c r="R27" s="3">
        <v>0</v>
      </c>
      <c r="T27" s="33" t="s">
        <v>533</v>
      </c>
      <c r="U27" s="3">
        <v>54</v>
      </c>
      <c r="V27" s="1">
        <v>94.73684210526315</v>
      </c>
      <c r="W27" s="3"/>
      <c r="X27" s="3">
        <v>1</v>
      </c>
      <c r="Y27" s="1" t="s">
        <v>228</v>
      </c>
      <c r="Z27" s="3"/>
      <c r="AA27" s="3">
        <v>3</v>
      </c>
      <c r="AB27" s="1">
        <v>5.2631578947368416</v>
      </c>
      <c r="AC27" s="3"/>
      <c r="AD27" s="3">
        <v>0</v>
      </c>
      <c r="AE27" s="1" t="s">
        <v>228</v>
      </c>
      <c r="AF27" s="3"/>
      <c r="AG27" s="3">
        <v>57</v>
      </c>
      <c r="AH27" s="1">
        <v>100</v>
      </c>
      <c r="AI27" s="3"/>
      <c r="AJ27" s="3">
        <v>1</v>
      </c>
      <c r="AK27" s="1" t="s">
        <v>228</v>
      </c>
    </row>
    <row r="28" spans="1:37" ht="20.149999999999999" customHeight="1">
      <c r="A28" s="272" t="s">
        <v>534</v>
      </c>
      <c r="B28" s="3">
        <v>104</v>
      </c>
      <c r="C28" s="1">
        <v>46.63677130044843</v>
      </c>
      <c r="D28" s="3"/>
      <c r="E28" s="3">
        <v>10</v>
      </c>
      <c r="F28" s="1">
        <v>9.6153846153846168</v>
      </c>
      <c r="G28" s="3"/>
      <c r="H28" s="3">
        <v>119</v>
      </c>
      <c r="I28" s="1">
        <v>53.36322869955157</v>
      </c>
      <c r="J28" s="3"/>
      <c r="K28" s="3">
        <v>4</v>
      </c>
      <c r="L28" s="1">
        <v>3.3613445378151261</v>
      </c>
      <c r="M28" s="3"/>
      <c r="N28" s="3">
        <v>223</v>
      </c>
      <c r="O28" s="1">
        <v>100</v>
      </c>
      <c r="P28" s="3"/>
      <c r="Q28" s="3">
        <v>14</v>
      </c>
      <c r="R28" s="1">
        <v>6.2780269058295968</v>
      </c>
      <c r="T28" s="272" t="s">
        <v>534</v>
      </c>
      <c r="U28" s="3">
        <v>94</v>
      </c>
      <c r="V28" s="1">
        <v>62.666666666666671</v>
      </c>
      <c r="W28" s="3"/>
      <c r="X28" s="3">
        <v>11</v>
      </c>
      <c r="Y28" s="1">
        <v>11.702127659574469</v>
      </c>
      <c r="Z28" s="3"/>
      <c r="AA28" s="3">
        <v>56</v>
      </c>
      <c r="AB28" s="1">
        <v>37.333333333333336</v>
      </c>
      <c r="AC28" s="3"/>
      <c r="AD28" s="3">
        <v>6</v>
      </c>
      <c r="AE28" s="1">
        <v>10.714285714285714</v>
      </c>
      <c r="AF28" s="3"/>
      <c r="AG28" s="3">
        <v>150</v>
      </c>
      <c r="AH28" s="1">
        <v>100</v>
      </c>
      <c r="AI28" s="3"/>
      <c r="AJ28" s="3">
        <v>17</v>
      </c>
      <c r="AK28" s="1">
        <v>11.333333333333332</v>
      </c>
    </row>
    <row r="29" spans="1:37" ht="10.15" customHeight="1">
      <c r="A29" s="29" t="s">
        <v>474</v>
      </c>
      <c r="B29" s="3">
        <v>199</v>
      </c>
      <c r="C29" s="1">
        <v>79.282868525896404</v>
      </c>
      <c r="D29" s="3"/>
      <c r="E29" s="3">
        <v>20</v>
      </c>
      <c r="F29" s="1">
        <v>10.050251256281408</v>
      </c>
      <c r="G29" s="3"/>
      <c r="H29" s="3">
        <v>52</v>
      </c>
      <c r="I29" s="1">
        <v>20.717131474103585</v>
      </c>
      <c r="J29" s="3"/>
      <c r="K29" s="3">
        <v>8</v>
      </c>
      <c r="L29" s="1">
        <v>15.384615384615385</v>
      </c>
      <c r="M29" s="3"/>
      <c r="N29" s="3">
        <v>251</v>
      </c>
      <c r="O29" s="1">
        <v>100</v>
      </c>
      <c r="P29" s="3"/>
      <c r="Q29" s="3">
        <v>28</v>
      </c>
      <c r="R29" s="1">
        <v>11.155378486055776</v>
      </c>
      <c r="T29" s="29" t="s">
        <v>474</v>
      </c>
      <c r="U29" s="3">
        <v>143</v>
      </c>
      <c r="V29" s="1">
        <v>77.717391304347828</v>
      </c>
      <c r="W29" s="3"/>
      <c r="X29" s="3">
        <v>13</v>
      </c>
      <c r="Y29" s="1">
        <v>9.0909090909090917</v>
      </c>
      <c r="Z29" s="3"/>
      <c r="AA29" s="3">
        <v>41</v>
      </c>
      <c r="AB29" s="1">
        <v>22.282608695652172</v>
      </c>
      <c r="AC29" s="3"/>
      <c r="AD29" s="3">
        <v>1</v>
      </c>
      <c r="AE29" s="1">
        <v>2.4390243902439024</v>
      </c>
      <c r="AF29" s="3"/>
      <c r="AG29" s="3">
        <v>184</v>
      </c>
      <c r="AH29" s="1">
        <v>100</v>
      </c>
      <c r="AI29" s="3"/>
      <c r="AJ29" s="3">
        <v>14</v>
      </c>
      <c r="AK29" s="1">
        <v>7.608695652173914</v>
      </c>
    </row>
    <row r="30" spans="1:37" ht="10.15" customHeight="1">
      <c r="A30" s="119" t="s">
        <v>58</v>
      </c>
      <c r="B30" s="5">
        <v>1814</v>
      </c>
      <c r="C30" s="6">
        <v>59.049479166666664</v>
      </c>
      <c r="D30" s="5"/>
      <c r="E30" s="5">
        <v>115</v>
      </c>
      <c r="F30" s="6">
        <v>6.3395810363836818</v>
      </c>
      <c r="G30" s="5"/>
      <c r="H30" s="5">
        <v>1258</v>
      </c>
      <c r="I30" s="6">
        <v>40.950520833333329</v>
      </c>
      <c r="J30" s="5"/>
      <c r="K30" s="5">
        <v>49</v>
      </c>
      <c r="L30" s="6">
        <v>3.8950715421303657</v>
      </c>
      <c r="M30" s="5"/>
      <c r="N30" s="5">
        <v>3072</v>
      </c>
      <c r="O30" s="6">
        <v>100</v>
      </c>
      <c r="P30" s="5"/>
      <c r="Q30" s="5">
        <v>164</v>
      </c>
      <c r="R30" s="6">
        <v>5.3385416666666661</v>
      </c>
      <c r="T30" s="119" t="s">
        <v>58</v>
      </c>
      <c r="U30" s="5">
        <v>1753</v>
      </c>
      <c r="V30" s="6">
        <v>59.788540245566168</v>
      </c>
      <c r="W30" s="5"/>
      <c r="X30" s="5">
        <v>103</v>
      </c>
      <c r="Y30" s="6">
        <v>5.8756417569880206</v>
      </c>
      <c r="Z30" s="5"/>
      <c r="AA30" s="5">
        <v>1179</v>
      </c>
      <c r="AB30" s="6">
        <v>40.211459754433832</v>
      </c>
      <c r="AC30" s="5"/>
      <c r="AD30" s="5">
        <v>54</v>
      </c>
      <c r="AE30" s="6">
        <v>4.5801526717557248</v>
      </c>
      <c r="AF30" s="5"/>
      <c r="AG30" s="5">
        <v>2932</v>
      </c>
      <c r="AH30" s="6">
        <v>100</v>
      </c>
      <c r="AI30" s="5"/>
      <c r="AJ30" s="5">
        <v>157</v>
      </c>
      <c r="AK30" s="6">
        <v>5.3547066848567537</v>
      </c>
    </row>
    <row r="31" spans="1:37" ht="3" customHeight="1">
      <c r="A31" s="16"/>
      <c r="B31" s="17"/>
      <c r="C31" s="17"/>
      <c r="D31" s="17"/>
      <c r="E31" s="17"/>
      <c r="F31" s="17"/>
      <c r="G31" s="17"/>
      <c r="H31" s="17"/>
      <c r="I31" s="17"/>
      <c r="J31" s="17"/>
      <c r="K31" s="17"/>
      <c r="L31" s="17"/>
      <c r="M31" s="17"/>
      <c r="N31" s="17"/>
      <c r="O31" s="17"/>
      <c r="P31" s="17"/>
      <c r="Q31" s="17"/>
      <c r="R31" s="17"/>
      <c r="T31" s="16"/>
      <c r="U31" s="17"/>
      <c r="V31" s="17"/>
      <c r="W31" s="17"/>
      <c r="X31" s="17"/>
      <c r="Y31" s="17"/>
      <c r="Z31" s="17"/>
      <c r="AA31" s="17"/>
      <c r="AB31" s="17"/>
      <c r="AC31" s="17"/>
      <c r="AD31" s="17"/>
      <c r="AE31" s="17"/>
      <c r="AF31" s="17"/>
      <c r="AG31" s="17"/>
      <c r="AH31" s="17"/>
      <c r="AI31" s="17"/>
      <c r="AJ31" s="17"/>
      <c r="AK31" s="17"/>
    </row>
    <row r="32" spans="1:37" ht="10.15" customHeight="1">
      <c r="A32" s="23"/>
      <c r="B32" s="752" t="s">
        <v>508</v>
      </c>
      <c r="C32" s="752"/>
      <c r="D32" s="752"/>
      <c r="E32" s="752"/>
      <c r="F32" s="752"/>
      <c r="G32" s="752"/>
      <c r="H32" s="752"/>
      <c r="I32" s="752"/>
      <c r="J32" s="752"/>
      <c r="K32" s="752"/>
      <c r="L32" s="752"/>
      <c r="M32" s="752"/>
      <c r="N32" s="752"/>
      <c r="O32" s="752"/>
      <c r="P32" s="752"/>
      <c r="Q32" s="752"/>
      <c r="R32" s="752"/>
      <c r="T32" s="23"/>
      <c r="U32" s="752" t="s">
        <v>508</v>
      </c>
      <c r="V32" s="752"/>
      <c r="W32" s="752"/>
      <c r="X32" s="752"/>
      <c r="Y32" s="752"/>
      <c r="Z32" s="752"/>
      <c r="AA32" s="752"/>
      <c r="AB32" s="752"/>
      <c r="AC32" s="752"/>
      <c r="AD32" s="752"/>
      <c r="AE32" s="752"/>
      <c r="AF32" s="752"/>
      <c r="AG32" s="752"/>
      <c r="AH32" s="752"/>
      <c r="AI32" s="752"/>
      <c r="AJ32" s="752"/>
      <c r="AK32" s="752"/>
    </row>
    <row r="33" spans="1:38" ht="3" customHeight="1">
      <c r="A33" s="16"/>
      <c r="B33" s="17"/>
      <c r="C33" s="17"/>
      <c r="D33" s="17"/>
      <c r="E33" s="17"/>
      <c r="F33" s="17"/>
      <c r="G33" s="17"/>
      <c r="H33" s="17"/>
      <c r="I33" s="17"/>
      <c r="J33" s="17"/>
      <c r="K33" s="17"/>
      <c r="L33" s="17"/>
      <c r="M33" s="17"/>
      <c r="N33" s="17"/>
      <c r="O33" s="17"/>
      <c r="P33" s="17"/>
      <c r="Q33" s="17"/>
      <c r="R33" s="17"/>
      <c r="T33" s="16"/>
      <c r="U33" s="17"/>
      <c r="V33" s="17"/>
      <c r="W33" s="17"/>
      <c r="X33" s="17"/>
      <c r="Y33" s="17"/>
      <c r="Z33" s="17"/>
      <c r="AA33" s="17"/>
      <c r="AB33" s="17"/>
      <c r="AC33" s="17"/>
      <c r="AD33" s="17"/>
      <c r="AE33" s="17"/>
      <c r="AF33" s="17"/>
      <c r="AG33" s="17"/>
      <c r="AH33" s="17"/>
      <c r="AI33" s="17"/>
      <c r="AJ33" s="17"/>
      <c r="AK33" s="17"/>
    </row>
    <row r="34" spans="1:38" ht="10.15" customHeight="1">
      <c r="A34" s="118" t="s">
        <v>365</v>
      </c>
      <c r="B34" s="3">
        <v>302</v>
      </c>
      <c r="C34" s="1">
        <v>57.196969696969703</v>
      </c>
      <c r="D34" s="3"/>
      <c r="E34" s="3">
        <v>15</v>
      </c>
      <c r="F34" s="1">
        <v>4.9668874172185431</v>
      </c>
      <c r="G34" s="3"/>
      <c r="H34" s="3">
        <v>226</v>
      </c>
      <c r="I34" s="1">
        <v>42.803030303030305</v>
      </c>
      <c r="J34" s="3"/>
      <c r="K34" s="3">
        <v>7</v>
      </c>
      <c r="L34" s="1">
        <v>3.0973451327433628</v>
      </c>
      <c r="M34" s="3"/>
      <c r="N34" s="3">
        <v>528</v>
      </c>
      <c r="O34" s="1">
        <v>100</v>
      </c>
      <c r="P34" s="3"/>
      <c r="Q34" s="3">
        <v>22</v>
      </c>
      <c r="R34" s="1">
        <v>4.1666666666666661</v>
      </c>
      <c r="T34" s="118" t="s">
        <v>365</v>
      </c>
      <c r="U34" s="3">
        <v>279</v>
      </c>
      <c r="V34" s="1">
        <v>53.041825095057035</v>
      </c>
      <c r="W34" s="3"/>
      <c r="X34" s="3">
        <v>7</v>
      </c>
      <c r="Y34" s="1">
        <v>2.5089605734767026</v>
      </c>
      <c r="Z34" s="3"/>
      <c r="AA34" s="3">
        <v>247</v>
      </c>
      <c r="AB34" s="1">
        <v>46.958174904942965</v>
      </c>
      <c r="AC34" s="3"/>
      <c r="AD34" s="3">
        <v>7</v>
      </c>
      <c r="AE34" s="1">
        <v>2.834008097165992</v>
      </c>
      <c r="AF34" s="3"/>
      <c r="AG34" s="3">
        <v>526</v>
      </c>
      <c r="AH34" s="1">
        <v>100</v>
      </c>
      <c r="AI34" s="3"/>
      <c r="AJ34" s="3">
        <v>14</v>
      </c>
      <c r="AK34" s="1">
        <v>2.6615969581749046</v>
      </c>
    </row>
    <row r="35" spans="1:38" ht="10.15" customHeight="1">
      <c r="A35" s="118" t="s">
        <v>531</v>
      </c>
      <c r="B35" s="3">
        <v>541</v>
      </c>
      <c r="C35" s="1">
        <v>45.692567567567565</v>
      </c>
      <c r="D35" s="3"/>
      <c r="E35" s="3">
        <v>29</v>
      </c>
      <c r="F35" s="1">
        <v>5.360443622920517</v>
      </c>
      <c r="G35" s="3"/>
      <c r="H35" s="3">
        <v>643</v>
      </c>
      <c r="I35" s="1">
        <v>54.307432432432435</v>
      </c>
      <c r="J35" s="3"/>
      <c r="K35" s="3">
        <v>72</v>
      </c>
      <c r="L35" s="1">
        <v>11.19751166407465</v>
      </c>
      <c r="M35" s="3"/>
      <c r="N35" s="3">
        <v>1184</v>
      </c>
      <c r="O35" s="1">
        <v>100</v>
      </c>
      <c r="P35" s="3"/>
      <c r="Q35" s="3">
        <v>101</v>
      </c>
      <c r="R35" s="1">
        <v>8.5304054054054053</v>
      </c>
      <c r="T35" s="118" t="s">
        <v>531</v>
      </c>
      <c r="U35" s="3">
        <v>574</v>
      </c>
      <c r="V35" s="1">
        <v>44.808743169398909</v>
      </c>
      <c r="W35" s="3"/>
      <c r="X35" s="3">
        <v>24</v>
      </c>
      <c r="Y35" s="1">
        <v>4.1811846689895473</v>
      </c>
      <c r="Z35" s="3"/>
      <c r="AA35" s="3">
        <v>707</v>
      </c>
      <c r="AB35" s="1">
        <v>55.191256830601091</v>
      </c>
      <c r="AC35" s="3"/>
      <c r="AD35" s="3">
        <v>50</v>
      </c>
      <c r="AE35" s="1">
        <v>7.0721357850070721</v>
      </c>
      <c r="AF35" s="3"/>
      <c r="AG35" s="3">
        <v>1281</v>
      </c>
      <c r="AH35" s="1">
        <v>100</v>
      </c>
      <c r="AI35" s="3"/>
      <c r="AJ35" s="3">
        <v>74</v>
      </c>
      <c r="AK35" s="1">
        <v>5.7767369242779081</v>
      </c>
    </row>
    <row r="36" spans="1:38" ht="20.149999999999999" customHeight="1">
      <c r="A36" s="33" t="s">
        <v>532</v>
      </c>
      <c r="B36" s="3">
        <v>152</v>
      </c>
      <c r="C36" s="1">
        <v>68.468468468468473</v>
      </c>
      <c r="D36" s="3"/>
      <c r="E36" s="3">
        <v>0</v>
      </c>
      <c r="F36" s="1">
        <v>0</v>
      </c>
      <c r="G36" s="3"/>
      <c r="H36" s="3">
        <v>70</v>
      </c>
      <c r="I36" s="1">
        <v>31.531531531531531</v>
      </c>
      <c r="J36" s="3"/>
      <c r="K36" s="3">
        <v>0</v>
      </c>
      <c r="L36" s="1">
        <v>0</v>
      </c>
      <c r="M36" s="3"/>
      <c r="N36" s="3">
        <v>222</v>
      </c>
      <c r="O36" s="1">
        <v>100</v>
      </c>
      <c r="P36" s="3"/>
      <c r="Q36" s="3">
        <v>0</v>
      </c>
      <c r="R36" s="1">
        <v>0</v>
      </c>
      <c r="T36" s="33" t="s">
        <v>532</v>
      </c>
      <c r="U36" s="3">
        <v>176</v>
      </c>
      <c r="V36" s="1">
        <v>74.576271186440678</v>
      </c>
      <c r="W36" s="3"/>
      <c r="X36" s="3">
        <v>1</v>
      </c>
      <c r="Y36" s="1">
        <v>0.56818181818181823</v>
      </c>
      <c r="Z36" s="3"/>
      <c r="AA36" s="3">
        <v>60</v>
      </c>
      <c r="AB36" s="1">
        <v>25.423728813559322</v>
      </c>
      <c r="AC36" s="3"/>
      <c r="AD36" s="3">
        <v>0</v>
      </c>
      <c r="AE36" s="1">
        <v>0</v>
      </c>
      <c r="AF36" s="3"/>
      <c r="AG36" s="3">
        <v>236</v>
      </c>
      <c r="AH36" s="1">
        <v>100</v>
      </c>
      <c r="AI36" s="3"/>
      <c r="AJ36" s="3">
        <v>1</v>
      </c>
      <c r="AK36" s="1">
        <v>0.42372881355932202</v>
      </c>
    </row>
    <row r="37" spans="1:38" ht="20.149999999999999" customHeight="1">
      <c r="A37" s="33" t="s">
        <v>533</v>
      </c>
      <c r="B37" s="3">
        <v>97</v>
      </c>
      <c r="C37" s="1">
        <v>97.979797979797979</v>
      </c>
      <c r="D37" s="3"/>
      <c r="E37" s="3">
        <v>4</v>
      </c>
      <c r="F37" s="1">
        <v>4.1237113402061851</v>
      </c>
      <c r="G37" s="3"/>
      <c r="H37" s="3">
        <v>2</v>
      </c>
      <c r="I37" s="1">
        <v>2.0202020202020203</v>
      </c>
      <c r="J37" s="3"/>
      <c r="K37" s="3">
        <v>0</v>
      </c>
      <c r="L37" s="3">
        <v>0</v>
      </c>
      <c r="M37" s="3"/>
      <c r="N37" s="3">
        <v>99</v>
      </c>
      <c r="O37" s="1">
        <v>100</v>
      </c>
      <c r="P37" s="3"/>
      <c r="Q37" s="3">
        <v>4</v>
      </c>
      <c r="R37" s="1">
        <v>4.0404040404040407</v>
      </c>
      <c r="T37" s="33" t="s">
        <v>533</v>
      </c>
      <c r="U37" s="3">
        <v>60</v>
      </c>
      <c r="V37" s="1">
        <v>95.238095238095227</v>
      </c>
      <c r="W37" s="3"/>
      <c r="X37" s="3">
        <v>0</v>
      </c>
      <c r="Y37" s="1" t="s">
        <v>228</v>
      </c>
      <c r="Z37" s="3"/>
      <c r="AA37" s="3">
        <v>3</v>
      </c>
      <c r="AB37" s="1">
        <v>4.7619047619047619</v>
      </c>
      <c r="AC37" s="3"/>
      <c r="AD37" s="3"/>
      <c r="AE37" s="1" t="s">
        <v>228</v>
      </c>
      <c r="AF37" s="3"/>
      <c r="AG37" s="3">
        <v>63</v>
      </c>
      <c r="AH37" s="1">
        <v>100</v>
      </c>
      <c r="AI37" s="3"/>
      <c r="AJ37" s="3">
        <v>0</v>
      </c>
      <c r="AK37" s="1" t="s">
        <v>228</v>
      </c>
    </row>
    <row r="38" spans="1:38" ht="20.149999999999999" customHeight="1">
      <c r="A38" s="272" t="s">
        <v>534</v>
      </c>
      <c r="B38" s="3">
        <v>84</v>
      </c>
      <c r="C38" s="1">
        <v>47.191011235955052</v>
      </c>
      <c r="D38" s="3"/>
      <c r="E38" s="3">
        <v>7</v>
      </c>
      <c r="F38" s="1">
        <v>8.3333333333333321</v>
      </c>
      <c r="G38" s="3"/>
      <c r="H38" s="3">
        <v>94</v>
      </c>
      <c r="I38" s="1">
        <v>52.80898876404494</v>
      </c>
      <c r="J38" s="3"/>
      <c r="K38" s="3">
        <v>4</v>
      </c>
      <c r="L38" s="1">
        <v>4.2553191489361701</v>
      </c>
      <c r="M38" s="3"/>
      <c r="N38" s="3">
        <v>178</v>
      </c>
      <c r="O38" s="1">
        <v>100</v>
      </c>
      <c r="P38" s="3"/>
      <c r="Q38" s="3">
        <v>11</v>
      </c>
      <c r="R38" s="1">
        <v>6.179775280898876</v>
      </c>
      <c r="T38" s="272" t="s">
        <v>534</v>
      </c>
      <c r="U38" s="3">
        <v>72</v>
      </c>
      <c r="V38" s="1">
        <v>57.142857142857139</v>
      </c>
      <c r="W38" s="3"/>
      <c r="X38" s="3">
        <v>3</v>
      </c>
      <c r="Y38" s="1">
        <v>4.1666666666666661</v>
      </c>
      <c r="Z38" s="3"/>
      <c r="AA38" s="3">
        <v>54</v>
      </c>
      <c r="AB38" s="1">
        <v>42.857142857142854</v>
      </c>
      <c r="AC38" s="3"/>
      <c r="AD38" s="3">
        <v>2</v>
      </c>
      <c r="AE38" s="1">
        <v>3.7037037037037033</v>
      </c>
      <c r="AF38" s="3"/>
      <c r="AG38" s="3">
        <v>126</v>
      </c>
      <c r="AH38" s="1">
        <v>100</v>
      </c>
      <c r="AI38" s="3"/>
      <c r="AJ38" s="3">
        <v>5</v>
      </c>
      <c r="AK38" s="1">
        <v>3.9682539682539679</v>
      </c>
    </row>
    <row r="39" spans="1:38" ht="10.15" customHeight="1">
      <c r="A39" s="29" t="s">
        <v>474</v>
      </c>
      <c r="B39" s="3">
        <v>73</v>
      </c>
      <c r="C39" s="1">
        <v>62.393162393162392</v>
      </c>
      <c r="D39" s="3"/>
      <c r="E39" s="3">
        <v>8</v>
      </c>
      <c r="F39" s="1">
        <v>10.95890410958904</v>
      </c>
      <c r="G39" s="3"/>
      <c r="H39" s="3">
        <v>44</v>
      </c>
      <c r="I39" s="1">
        <v>37.606837606837608</v>
      </c>
      <c r="J39" s="3"/>
      <c r="K39" s="3">
        <v>8</v>
      </c>
      <c r="L39" s="1">
        <v>18.181818181818183</v>
      </c>
      <c r="M39" s="3"/>
      <c r="N39" s="3">
        <v>117</v>
      </c>
      <c r="O39" s="1">
        <v>100</v>
      </c>
      <c r="P39" s="3"/>
      <c r="Q39" s="3">
        <v>16</v>
      </c>
      <c r="R39" s="1">
        <v>13.675213675213676</v>
      </c>
      <c r="T39" s="29" t="s">
        <v>474</v>
      </c>
      <c r="U39" s="3">
        <v>54</v>
      </c>
      <c r="V39" s="1">
        <v>60.674157303370791</v>
      </c>
      <c r="W39" s="3"/>
      <c r="X39" s="3">
        <v>7</v>
      </c>
      <c r="Y39" s="1">
        <v>12.962962962962962</v>
      </c>
      <c r="Z39" s="3"/>
      <c r="AA39" s="3">
        <v>35</v>
      </c>
      <c r="AB39" s="1">
        <v>39.325842696629216</v>
      </c>
      <c r="AC39" s="3"/>
      <c r="AD39" s="3">
        <v>5</v>
      </c>
      <c r="AE39" s="1">
        <v>14.285714285714285</v>
      </c>
      <c r="AF39" s="3"/>
      <c r="AG39" s="3">
        <v>89</v>
      </c>
      <c r="AH39" s="1">
        <v>100</v>
      </c>
      <c r="AI39" s="3"/>
      <c r="AJ39" s="3">
        <v>12</v>
      </c>
      <c r="AK39" s="1">
        <v>13.48314606741573</v>
      </c>
    </row>
    <row r="40" spans="1:38" ht="10.15" customHeight="1">
      <c r="A40" s="119" t="s">
        <v>58</v>
      </c>
      <c r="B40" s="5">
        <v>1249</v>
      </c>
      <c r="C40" s="6">
        <v>53.651202749140893</v>
      </c>
      <c r="D40" s="5"/>
      <c r="E40" s="5">
        <v>63</v>
      </c>
      <c r="F40" s="6">
        <v>5.0440352281825458</v>
      </c>
      <c r="G40" s="5"/>
      <c r="H40" s="5">
        <v>1079</v>
      </c>
      <c r="I40" s="6">
        <v>46.348797250859107</v>
      </c>
      <c r="J40" s="5"/>
      <c r="K40" s="5">
        <v>91</v>
      </c>
      <c r="L40" s="6">
        <v>8.4337349397590362</v>
      </c>
      <c r="M40" s="5"/>
      <c r="N40" s="5">
        <v>2328</v>
      </c>
      <c r="O40" s="6">
        <v>100</v>
      </c>
      <c r="P40" s="5"/>
      <c r="Q40" s="5">
        <v>154</v>
      </c>
      <c r="R40" s="6">
        <v>6.6151202749140898</v>
      </c>
      <c r="T40" s="119" t="s">
        <v>58</v>
      </c>
      <c r="U40" s="5">
        <v>1215</v>
      </c>
      <c r="V40" s="6">
        <v>52.348125807841448</v>
      </c>
      <c r="W40" s="5"/>
      <c r="X40" s="5">
        <v>42</v>
      </c>
      <c r="Y40" s="6">
        <v>3.4567901234567899</v>
      </c>
      <c r="Z40" s="5"/>
      <c r="AA40" s="5">
        <v>1106</v>
      </c>
      <c r="AB40" s="6">
        <v>47.651874192158552</v>
      </c>
      <c r="AC40" s="5"/>
      <c r="AD40" s="5">
        <v>64</v>
      </c>
      <c r="AE40" s="6">
        <v>5.786618444846293</v>
      </c>
      <c r="AF40" s="5"/>
      <c r="AG40" s="5">
        <v>2321</v>
      </c>
      <c r="AH40" s="6">
        <v>100</v>
      </c>
      <c r="AI40" s="5"/>
      <c r="AJ40" s="5">
        <v>106</v>
      </c>
      <c r="AK40" s="6">
        <v>4.5669969840585951</v>
      </c>
    </row>
    <row r="41" spans="1:38" ht="3" customHeight="1">
      <c r="A41" s="20"/>
      <c r="B41" s="20"/>
      <c r="C41" s="20"/>
      <c r="D41" s="20"/>
      <c r="E41" s="20"/>
      <c r="F41" s="21"/>
      <c r="G41" s="20"/>
      <c r="H41" s="20"/>
      <c r="I41" s="20"/>
      <c r="J41" s="20"/>
      <c r="K41" s="20"/>
      <c r="L41" s="20"/>
      <c r="M41" s="20"/>
      <c r="N41" s="20"/>
      <c r="O41" s="20"/>
      <c r="P41" s="20"/>
      <c r="Q41" s="20"/>
      <c r="R41" s="22"/>
      <c r="T41" s="20"/>
      <c r="U41" s="20"/>
      <c r="V41" s="20"/>
      <c r="W41" s="20"/>
      <c r="X41" s="20"/>
      <c r="Y41" s="21"/>
      <c r="Z41" s="20"/>
      <c r="AA41" s="20"/>
      <c r="AB41" s="20"/>
      <c r="AC41" s="20"/>
      <c r="AD41" s="20"/>
      <c r="AE41" s="20"/>
      <c r="AF41" s="20"/>
      <c r="AG41" s="20"/>
      <c r="AH41" s="20"/>
      <c r="AI41" s="20"/>
      <c r="AJ41" s="20"/>
      <c r="AK41" s="22"/>
    </row>
    <row r="42" spans="1:38" ht="3" customHeight="1"/>
    <row r="43" spans="1:38" ht="9" customHeight="1">
      <c r="A43" s="753" t="s">
        <v>429</v>
      </c>
      <c r="B43" s="753"/>
      <c r="C43" s="753"/>
      <c r="D43" s="753"/>
      <c r="E43" s="753"/>
      <c r="F43" s="753"/>
      <c r="G43" s="753"/>
      <c r="H43" s="753"/>
      <c r="I43" s="753"/>
      <c r="J43" s="753"/>
      <c r="K43" s="753"/>
      <c r="L43" s="753"/>
      <c r="M43" s="753"/>
      <c r="N43" s="753"/>
      <c r="O43" s="753"/>
      <c r="P43" s="753"/>
      <c r="Q43" s="753"/>
      <c r="R43" s="753"/>
      <c r="T43" s="753" t="s">
        <v>429</v>
      </c>
      <c r="U43" s="753"/>
      <c r="V43" s="753"/>
      <c r="W43" s="753"/>
      <c r="X43" s="753"/>
      <c r="Y43" s="753"/>
      <c r="Z43" s="753"/>
      <c r="AA43" s="753"/>
      <c r="AB43" s="753"/>
      <c r="AC43" s="753"/>
      <c r="AD43" s="753"/>
      <c r="AE43" s="753"/>
      <c r="AF43" s="753"/>
      <c r="AG43" s="753"/>
      <c r="AH43" s="753"/>
      <c r="AI43" s="753"/>
      <c r="AJ43" s="753"/>
      <c r="AK43" s="753"/>
    </row>
    <row r="44" spans="1:38" ht="45" customHeight="1">
      <c r="A44" s="734" t="s">
        <v>498</v>
      </c>
      <c r="B44" s="732"/>
      <c r="C44" s="732"/>
      <c r="D44" s="732"/>
      <c r="E44" s="732"/>
      <c r="F44" s="732"/>
      <c r="G44" s="732"/>
      <c r="H44" s="732"/>
      <c r="I44" s="732"/>
      <c r="J44" s="732"/>
      <c r="K44" s="732"/>
      <c r="L44" s="732"/>
      <c r="M44" s="732"/>
      <c r="N44" s="732"/>
      <c r="O44" s="732"/>
      <c r="P44" s="732"/>
      <c r="Q44" s="732"/>
      <c r="R44" s="732"/>
      <c r="T44" s="734" t="s">
        <v>498</v>
      </c>
      <c r="U44" s="732"/>
      <c r="V44" s="732"/>
      <c r="W44" s="732"/>
      <c r="X44" s="732"/>
      <c r="Y44" s="732"/>
      <c r="Z44" s="732"/>
      <c r="AA44" s="732"/>
      <c r="AB44" s="732"/>
      <c r="AC44" s="732"/>
      <c r="AD44" s="732"/>
      <c r="AE44" s="732"/>
      <c r="AF44" s="732"/>
      <c r="AG44" s="732"/>
      <c r="AH44" s="732"/>
      <c r="AI44" s="732"/>
      <c r="AJ44" s="732"/>
      <c r="AK44" s="732"/>
      <c r="AL44" s="500"/>
    </row>
    <row r="45" spans="1:38" ht="13.5" customHeight="1">
      <c r="A45" s="734" t="s">
        <v>535</v>
      </c>
      <c r="B45" s="742"/>
      <c r="C45" s="742"/>
      <c r="D45" s="742"/>
      <c r="E45" s="742"/>
      <c r="F45" s="742"/>
      <c r="G45" s="742"/>
      <c r="H45" s="742"/>
      <c r="I45" s="742"/>
      <c r="J45" s="742"/>
      <c r="K45" s="742"/>
      <c r="L45" s="742"/>
      <c r="M45" s="742"/>
      <c r="N45" s="742"/>
      <c r="O45" s="742"/>
      <c r="P45" s="742"/>
      <c r="Q45" s="742"/>
      <c r="R45" s="742"/>
      <c r="T45" s="734" t="s">
        <v>535</v>
      </c>
      <c r="U45" s="742"/>
      <c r="V45" s="742"/>
      <c r="W45" s="742"/>
      <c r="X45" s="742"/>
      <c r="Y45" s="742"/>
      <c r="Z45" s="742"/>
      <c r="AA45" s="742"/>
      <c r="AB45" s="742"/>
      <c r="AC45" s="742"/>
      <c r="AD45" s="742"/>
      <c r="AE45" s="742"/>
      <c r="AF45" s="742"/>
      <c r="AG45" s="742"/>
      <c r="AH45" s="742"/>
      <c r="AI45" s="742"/>
      <c r="AJ45" s="742"/>
      <c r="AK45" s="742"/>
    </row>
    <row r="47" spans="1:38">
      <c r="A47" s="753"/>
      <c r="B47" s="753"/>
      <c r="C47" s="753"/>
      <c r="D47" s="753"/>
      <c r="E47" s="753"/>
      <c r="F47" s="753"/>
      <c r="G47" s="753"/>
      <c r="H47" s="753"/>
      <c r="I47" s="753"/>
      <c r="J47" s="753"/>
      <c r="K47" s="753"/>
      <c r="L47" s="753"/>
      <c r="M47" s="753"/>
      <c r="N47" s="753"/>
      <c r="O47" s="753"/>
      <c r="P47" s="753"/>
      <c r="Q47" s="753"/>
      <c r="R47" s="753"/>
    </row>
    <row r="48" spans="1:38">
      <c r="A48" s="5"/>
      <c r="B48" s="5"/>
      <c r="C48" s="5"/>
      <c r="D48" s="5"/>
      <c r="E48" s="5"/>
      <c r="F48" s="5"/>
      <c r="G48" s="5"/>
      <c r="H48" s="5"/>
      <c r="I48" s="5"/>
      <c r="J48" s="5"/>
      <c r="K48" s="5"/>
      <c r="L48" s="5"/>
      <c r="M48" s="5"/>
      <c r="N48" s="5"/>
      <c r="O48" s="5"/>
      <c r="P48" s="5"/>
      <c r="Q48" s="5"/>
    </row>
    <row r="49" spans="2:17">
      <c r="B49" s="5"/>
      <c r="C49" s="5"/>
      <c r="D49" s="5"/>
      <c r="E49" s="5"/>
      <c r="F49" s="5"/>
      <c r="G49" s="5"/>
      <c r="H49" s="5"/>
      <c r="I49" s="5"/>
      <c r="J49" s="5"/>
      <c r="K49" s="5"/>
      <c r="L49" s="5"/>
      <c r="M49" s="5"/>
      <c r="N49" s="5"/>
      <c r="O49" s="5"/>
      <c r="P49" s="5"/>
      <c r="Q49" s="5"/>
    </row>
  </sheetData>
  <mergeCells count="41">
    <mergeCell ref="A47:R47"/>
    <mergeCell ref="A43:R43"/>
    <mergeCell ref="T43:AK43"/>
    <mergeCell ref="A44:R44"/>
    <mergeCell ref="T44:AK44"/>
    <mergeCell ref="A45:R45"/>
    <mergeCell ref="T45:AK45"/>
    <mergeCell ref="B12:R12"/>
    <mergeCell ref="U12:AK12"/>
    <mergeCell ref="B22:R22"/>
    <mergeCell ref="U22:AK22"/>
    <mergeCell ref="B32:R32"/>
    <mergeCell ref="U32:AK32"/>
    <mergeCell ref="AJ9:AK9"/>
    <mergeCell ref="N9:N10"/>
    <mergeCell ref="O9:O10"/>
    <mergeCell ref="Q9:R9"/>
    <mergeCell ref="U9:U10"/>
    <mergeCell ref="V9:V10"/>
    <mergeCell ref="X9:Y9"/>
    <mergeCell ref="AA9:AA10"/>
    <mergeCell ref="AB9:AB10"/>
    <mergeCell ref="AD9:AE9"/>
    <mergeCell ref="AG9:AG10"/>
    <mergeCell ref="AH9:AH10"/>
    <mergeCell ref="K9:L9"/>
    <mergeCell ref="A5:R5"/>
    <mergeCell ref="T5:AK5"/>
    <mergeCell ref="A8:A10"/>
    <mergeCell ref="B8:F8"/>
    <mergeCell ref="H8:L8"/>
    <mergeCell ref="N8:R8"/>
    <mergeCell ref="T8:T10"/>
    <mergeCell ref="U8:Y8"/>
    <mergeCell ref="AA8:AE8"/>
    <mergeCell ref="AG8:AK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56"/>
  <sheetViews>
    <sheetView zoomScaleNormal="100" workbookViewId="0">
      <selection activeCell="A4" sqref="A4"/>
    </sheetView>
  </sheetViews>
  <sheetFormatPr defaultColWidth="10.1796875" defaultRowHeight="12.5"/>
  <cols>
    <col min="1" max="1" width="22.453125" style="140" customWidth="1"/>
    <col min="2" max="3" width="8.81640625" style="140" customWidth="1"/>
    <col min="4" max="4" width="1" style="140" customWidth="1"/>
    <col min="5" max="6" width="8.26953125" style="140" customWidth="1"/>
    <col min="7" max="7" width="10.1796875" style="140"/>
    <col min="8" max="8" width="8.26953125" style="140" customWidth="1"/>
    <col min="9" max="9" width="1" style="140" customWidth="1"/>
    <col min="10" max="11" width="12.26953125" style="140" customWidth="1"/>
    <col min="12" max="218" width="10.1796875" style="140"/>
    <col min="219" max="219" width="37.54296875" style="140" customWidth="1"/>
    <col min="220" max="220" width="12.453125" style="140" customWidth="1"/>
    <col min="221" max="221" width="18.1796875" style="140" customWidth="1"/>
    <col min="222" max="222" width="10.26953125" style="140" customWidth="1"/>
    <col min="223" max="223" width="11.54296875" style="140" customWidth="1"/>
    <col min="224" max="474" width="10.1796875" style="140"/>
    <col min="475" max="475" width="37.54296875" style="140" customWidth="1"/>
    <col min="476" max="476" width="12.453125" style="140" customWidth="1"/>
    <col min="477" max="477" width="18.1796875" style="140" customWidth="1"/>
    <col min="478" max="478" width="10.26953125" style="140" customWidth="1"/>
    <col min="479" max="479" width="11.54296875" style="140" customWidth="1"/>
    <col min="480" max="730" width="10.1796875" style="140"/>
    <col min="731" max="731" width="37.54296875" style="140" customWidth="1"/>
    <col min="732" max="732" width="12.453125" style="140" customWidth="1"/>
    <col min="733" max="733" width="18.1796875" style="140" customWidth="1"/>
    <col min="734" max="734" width="10.26953125" style="140" customWidth="1"/>
    <col min="735" max="735" width="11.54296875" style="140" customWidth="1"/>
    <col min="736" max="986" width="10.1796875" style="140"/>
    <col min="987" max="987" width="37.54296875" style="140" customWidth="1"/>
    <col min="988" max="988" width="12.453125" style="140" customWidth="1"/>
    <col min="989" max="989" width="18.1796875" style="140" customWidth="1"/>
    <col min="990" max="990" width="10.26953125" style="140" customWidth="1"/>
    <col min="991" max="991" width="11.54296875" style="140" customWidth="1"/>
    <col min="992" max="1242" width="10.1796875" style="140"/>
    <col min="1243" max="1243" width="37.54296875" style="140" customWidth="1"/>
    <col min="1244" max="1244" width="12.453125" style="140" customWidth="1"/>
    <col min="1245" max="1245" width="18.1796875" style="140" customWidth="1"/>
    <col min="1246" max="1246" width="10.26953125" style="140" customWidth="1"/>
    <col min="1247" max="1247" width="11.54296875" style="140" customWidth="1"/>
    <col min="1248" max="1498" width="10.1796875" style="140"/>
    <col min="1499" max="1499" width="37.54296875" style="140" customWidth="1"/>
    <col min="1500" max="1500" width="12.453125" style="140" customWidth="1"/>
    <col min="1501" max="1501" width="18.1796875" style="140" customWidth="1"/>
    <col min="1502" max="1502" width="10.26953125" style="140" customWidth="1"/>
    <col min="1503" max="1503" width="11.54296875" style="140" customWidth="1"/>
    <col min="1504" max="1754" width="10.1796875" style="140"/>
    <col min="1755" max="1755" width="37.54296875" style="140" customWidth="1"/>
    <col min="1756" max="1756" width="12.453125" style="140" customWidth="1"/>
    <col min="1757" max="1757" width="18.1796875" style="140" customWidth="1"/>
    <col min="1758" max="1758" width="10.26953125" style="140" customWidth="1"/>
    <col min="1759" max="1759" width="11.54296875" style="140" customWidth="1"/>
    <col min="1760" max="2010" width="10.1796875" style="140"/>
    <col min="2011" max="2011" width="37.54296875" style="140" customWidth="1"/>
    <col min="2012" max="2012" width="12.453125" style="140" customWidth="1"/>
    <col min="2013" max="2013" width="18.1796875" style="140" customWidth="1"/>
    <col min="2014" max="2014" width="10.26953125" style="140" customWidth="1"/>
    <col min="2015" max="2015" width="11.54296875" style="140" customWidth="1"/>
    <col min="2016" max="2266" width="10.1796875" style="140"/>
    <col min="2267" max="2267" width="37.54296875" style="140" customWidth="1"/>
    <col min="2268" max="2268" width="12.453125" style="140" customWidth="1"/>
    <col min="2269" max="2269" width="18.1796875" style="140" customWidth="1"/>
    <col min="2270" max="2270" width="10.26953125" style="140" customWidth="1"/>
    <col min="2271" max="2271" width="11.54296875" style="140" customWidth="1"/>
    <col min="2272" max="2522" width="10.1796875" style="140"/>
    <col min="2523" max="2523" width="37.54296875" style="140" customWidth="1"/>
    <col min="2524" max="2524" width="12.453125" style="140" customWidth="1"/>
    <col min="2525" max="2525" width="18.1796875" style="140" customWidth="1"/>
    <col min="2526" max="2526" width="10.26953125" style="140" customWidth="1"/>
    <col min="2527" max="2527" width="11.54296875" style="140" customWidth="1"/>
    <col min="2528" max="2778" width="10.1796875" style="140"/>
    <col min="2779" max="2779" width="37.54296875" style="140" customWidth="1"/>
    <col min="2780" max="2780" width="12.453125" style="140" customWidth="1"/>
    <col min="2781" max="2781" width="18.1796875" style="140" customWidth="1"/>
    <col min="2782" max="2782" width="10.26953125" style="140" customWidth="1"/>
    <col min="2783" max="2783" width="11.54296875" style="140" customWidth="1"/>
    <col min="2784" max="3034" width="10.1796875" style="140"/>
    <col min="3035" max="3035" width="37.54296875" style="140" customWidth="1"/>
    <col min="3036" max="3036" width="12.453125" style="140" customWidth="1"/>
    <col min="3037" max="3037" width="18.1796875" style="140" customWidth="1"/>
    <col min="3038" max="3038" width="10.26953125" style="140" customWidth="1"/>
    <col min="3039" max="3039" width="11.54296875" style="140" customWidth="1"/>
    <col min="3040" max="3290" width="10.1796875" style="140"/>
    <col min="3291" max="3291" width="37.54296875" style="140" customWidth="1"/>
    <col min="3292" max="3292" width="12.453125" style="140" customWidth="1"/>
    <col min="3293" max="3293" width="18.1796875" style="140" customWidth="1"/>
    <col min="3294" max="3294" width="10.26953125" style="140" customWidth="1"/>
    <col min="3295" max="3295" width="11.54296875" style="140" customWidth="1"/>
    <col min="3296" max="3546" width="10.1796875" style="140"/>
    <col min="3547" max="3547" width="37.54296875" style="140" customWidth="1"/>
    <col min="3548" max="3548" width="12.453125" style="140" customWidth="1"/>
    <col min="3549" max="3549" width="18.1796875" style="140" customWidth="1"/>
    <col min="3550" max="3550" width="10.26953125" style="140" customWidth="1"/>
    <col min="3551" max="3551" width="11.54296875" style="140" customWidth="1"/>
    <col min="3552" max="3802" width="10.1796875" style="140"/>
    <col min="3803" max="3803" width="37.54296875" style="140" customWidth="1"/>
    <col min="3804" max="3804" width="12.453125" style="140" customWidth="1"/>
    <col min="3805" max="3805" width="18.1796875" style="140" customWidth="1"/>
    <col min="3806" max="3806" width="10.26953125" style="140" customWidth="1"/>
    <col min="3807" max="3807" width="11.54296875" style="140" customWidth="1"/>
    <col min="3808" max="4058" width="10.1796875" style="140"/>
    <col min="4059" max="4059" width="37.54296875" style="140" customWidth="1"/>
    <col min="4060" max="4060" width="12.453125" style="140" customWidth="1"/>
    <col min="4061" max="4061" width="18.1796875" style="140" customWidth="1"/>
    <col min="4062" max="4062" width="10.26953125" style="140" customWidth="1"/>
    <col min="4063" max="4063" width="11.54296875" style="140" customWidth="1"/>
    <col min="4064" max="4314" width="10.1796875" style="140"/>
    <col min="4315" max="4315" width="37.54296875" style="140" customWidth="1"/>
    <col min="4316" max="4316" width="12.453125" style="140" customWidth="1"/>
    <col min="4317" max="4317" width="18.1796875" style="140" customWidth="1"/>
    <col min="4318" max="4318" width="10.26953125" style="140" customWidth="1"/>
    <col min="4319" max="4319" width="11.54296875" style="140" customWidth="1"/>
    <col min="4320" max="4570" width="10.1796875" style="140"/>
    <col min="4571" max="4571" width="37.54296875" style="140" customWidth="1"/>
    <col min="4572" max="4572" width="12.453125" style="140" customWidth="1"/>
    <col min="4573" max="4573" width="18.1796875" style="140" customWidth="1"/>
    <col min="4574" max="4574" width="10.26953125" style="140" customWidth="1"/>
    <col min="4575" max="4575" width="11.54296875" style="140" customWidth="1"/>
    <col min="4576" max="4826" width="10.1796875" style="140"/>
    <col min="4827" max="4827" width="37.54296875" style="140" customWidth="1"/>
    <col min="4828" max="4828" width="12.453125" style="140" customWidth="1"/>
    <col min="4829" max="4829" width="18.1796875" style="140" customWidth="1"/>
    <col min="4830" max="4830" width="10.26953125" style="140" customWidth="1"/>
    <col min="4831" max="4831" width="11.54296875" style="140" customWidth="1"/>
    <col min="4832" max="5082" width="10.1796875" style="140"/>
    <col min="5083" max="5083" width="37.54296875" style="140" customWidth="1"/>
    <col min="5084" max="5084" width="12.453125" style="140" customWidth="1"/>
    <col min="5085" max="5085" width="18.1796875" style="140" customWidth="1"/>
    <col min="5086" max="5086" width="10.26953125" style="140" customWidth="1"/>
    <col min="5087" max="5087" width="11.54296875" style="140" customWidth="1"/>
    <col min="5088" max="5338" width="10.1796875" style="140"/>
    <col min="5339" max="5339" width="37.54296875" style="140" customWidth="1"/>
    <col min="5340" max="5340" width="12.453125" style="140" customWidth="1"/>
    <col min="5341" max="5341" width="18.1796875" style="140" customWidth="1"/>
    <col min="5342" max="5342" width="10.26953125" style="140" customWidth="1"/>
    <col min="5343" max="5343" width="11.54296875" style="140" customWidth="1"/>
    <col min="5344" max="5594" width="10.1796875" style="140"/>
    <col min="5595" max="5595" width="37.54296875" style="140" customWidth="1"/>
    <col min="5596" max="5596" width="12.453125" style="140" customWidth="1"/>
    <col min="5597" max="5597" width="18.1796875" style="140" customWidth="1"/>
    <col min="5598" max="5598" width="10.26953125" style="140" customWidth="1"/>
    <col min="5599" max="5599" width="11.54296875" style="140" customWidth="1"/>
    <col min="5600" max="5850" width="10.1796875" style="140"/>
    <col min="5851" max="5851" width="37.54296875" style="140" customWidth="1"/>
    <col min="5852" max="5852" width="12.453125" style="140" customWidth="1"/>
    <col min="5853" max="5853" width="18.1796875" style="140" customWidth="1"/>
    <col min="5854" max="5854" width="10.26953125" style="140" customWidth="1"/>
    <col min="5855" max="5855" width="11.54296875" style="140" customWidth="1"/>
    <col min="5856" max="6106" width="10.1796875" style="140"/>
    <col min="6107" max="6107" width="37.54296875" style="140" customWidth="1"/>
    <col min="6108" max="6108" width="12.453125" style="140" customWidth="1"/>
    <col min="6109" max="6109" width="18.1796875" style="140" customWidth="1"/>
    <col min="6110" max="6110" width="10.26953125" style="140" customWidth="1"/>
    <col min="6111" max="6111" width="11.54296875" style="140" customWidth="1"/>
    <col min="6112" max="6362" width="10.1796875" style="140"/>
    <col min="6363" max="6363" width="37.54296875" style="140" customWidth="1"/>
    <col min="6364" max="6364" width="12.453125" style="140" customWidth="1"/>
    <col min="6365" max="6365" width="18.1796875" style="140" customWidth="1"/>
    <col min="6366" max="6366" width="10.26953125" style="140" customWidth="1"/>
    <col min="6367" max="6367" width="11.54296875" style="140" customWidth="1"/>
    <col min="6368" max="6618" width="10.1796875" style="140"/>
    <col min="6619" max="6619" width="37.54296875" style="140" customWidth="1"/>
    <col min="6620" max="6620" width="12.453125" style="140" customWidth="1"/>
    <col min="6621" max="6621" width="18.1796875" style="140" customWidth="1"/>
    <col min="6622" max="6622" width="10.26953125" style="140" customWidth="1"/>
    <col min="6623" max="6623" width="11.54296875" style="140" customWidth="1"/>
    <col min="6624" max="6874" width="10.1796875" style="140"/>
    <col min="6875" max="6875" width="37.54296875" style="140" customWidth="1"/>
    <col min="6876" max="6876" width="12.453125" style="140" customWidth="1"/>
    <col min="6877" max="6877" width="18.1796875" style="140" customWidth="1"/>
    <col min="6878" max="6878" width="10.26953125" style="140" customWidth="1"/>
    <col min="6879" max="6879" width="11.54296875" style="140" customWidth="1"/>
    <col min="6880" max="7130" width="10.1796875" style="140"/>
    <col min="7131" max="7131" width="37.54296875" style="140" customWidth="1"/>
    <col min="7132" max="7132" width="12.453125" style="140" customWidth="1"/>
    <col min="7133" max="7133" width="18.1796875" style="140" customWidth="1"/>
    <col min="7134" max="7134" width="10.26953125" style="140" customWidth="1"/>
    <col min="7135" max="7135" width="11.54296875" style="140" customWidth="1"/>
    <col min="7136" max="7386" width="10.1796875" style="140"/>
    <col min="7387" max="7387" width="37.54296875" style="140" customWidth="1"/>
    <col min="7388" max="7388" width="12.453125" style="140" customWidth="1"/>
    <col min="7389" max="7389" width="18.1796875" style="140" customWidth="1"/>
    <col min="7390" max="7390" width="10.26953125" style="140" customWidth="1"/>
    <col min="7391" max="7391" width="11.54296875" style="140" customWidth="1"/>
    <col min="7392" max="7642" width="10.1796875" style="140"/>
    <col min="7643" max="7643" width="37.54296875" style="140" customWidth="1"/>
    <col min="7644" max="7644" width="12.453125" style="140" customWidth="1"/>
    <col min="7645" max="7645" width="18.1796875" style="140" customWidth="1"/>
    <col min="7646" max="7646" width="10.26953125" style="140" customWidth="1"/>
    <col min="7647" max="7647" width="11.54296875" style="140" customWidth="1"/>
    <col min="7648" max="7898" width="10.1796875" style="140"/>
    <col min="7899" max="7899" width="37.54296875" style="140" customWidth="1"/>
    <col min="7900" max="7900" width="12.453125" style="140" customWidth="1"/>
    <col min="7901" max="7901" width="18.1796875" style="140" customWidth="1"/>
    <col min="7902" max="7902" width="10.26953125" style="140" customWidth="1"/>
    <col min="7903" max="7903" width="11.54296875" style="140" customWidth="1"/>
    <col min="7904" max="8154" width="10.1796875" style="140"/>
    <col min="8155" max="8155" width="37.54296875" style="140" customWidth="1"/>
    <col min="8156" max="8156" width="12.453125" style="140" customWidth="1"/>
    <col min="8157" max="8157" width="18.1796875" style="140" customWidth="1"/>
    <col min="8158" max="8158" width="10.26953125" style="140" customWidth="1"/>
    <col min="8159" max="8159" width="11.54296875" style="140" customWidth="1"/>
    <col min="8160" max="8410" width="10.1796875" style="140"/>
    <col min="8411" max="8411" width="37.54296875" style="140" customWidth="1"/>
    <col min="8412" max="8412" width="12.453125" style="140" customWidth="1"/>
    <col min="8413" max="8413" width="18.1796875" style="140" customWidth="1"/>
    <col min="8414" max="8414" width="10.26953125" style="140" customWidth="1"/>
    <col min="8415" max="8415" width="11.54296875" style="140" customWidth="1"/>
    <col min="8416" max="8666" width="10.1796875" style="140"/>
    <col min="8667" max="8667" width="37.54296875" style="140" customWidth="1"/>
    <col min="8668" max="8668" width="12.453125" style="140" customWidth="1"/>
    <col min="8669" max="8669" width="18.1796875" style="140" customWidth="1"/>
    <col min="8670" max="8670" width="10.26953125" style="140" customWidth="1"/>
    <col min="8671" max="8671" width="11.54296875" style="140" customWidth="1"/>
    <col min="8672" max="8922" width="10.1796875" style="140"/>
    <col min="8923" max="8923" width="37.54296875" style="140" customWidth="1"/>
    <col min="8924" max="8924" width="12.453125" style="140" customWidth="1"/>
    <col min="8925" max="8925" width="18.1796875" style="140" customWidth="1"/>
    <col min="8926" max="8926" width="10.26953125" style="140" customWidth="1"/>
    <col min="8927" max="8927" width="11.54296875" style="140" customWidth="1"/>
    <col min="8928" max="9178" width="10.1796875" style="140"/>
    <col min="9179" max="9179" width="37.54296875" style="140" customWidth="1"/>
    <col min="9180" max="9180" width="12.453125" style="140" customWidth="1"/>
    <col min="9181" max="9181" width="18.1796875" style="140" customWidth="1"/>
    <col min="9182" max="9182" width="10.26953125" style="140" customWidth="1"/>
    <col min="9183" max="9183" width="11.54296875" style="140" customWidth="1"/>
    <col min="9184" max="9434" width="10.1796875" style="140"/>
    <col min="9435" max="9435" width="37.54296875" style="140" customWidth="1"/>
    <col min="9436" max="9436" width="12.453125" style="140" customWidth="1"/>
    <col min="9437" max="9437" width="18.1796875" style="140" customWidth="1"/>
    <col min="9438" max="9438" width="10.26953125" style="140" customWidth="1"/>
    <col min="9439" max="9439" width="11.54296875" style="140" customWidth="1"/>
    <col min="9440" max="9690" width="10.1796875" style="140"/>
    <col min="9691" max="9691" width="37.54296875" style="140" customWidth="1"/>
    <col min="9692" max="9692" width="12.453125" style="140" customWidth="1"/>
    <col min="9693" max="9693" width="18.1796875" style="140" customWidth="1"/>
    <col min="9694" max="9694" width="10.26953125" style="140" customWidth="1"/>
    <col min="9695" max="9695" width="11.54296875" style="140" customWidth="1"/>
    <col min="9696" max="9946" width="10.1796875" style="140"/>
    <col min="9947" max="9947" width="37.54296875" style="140" customWidth="1"/>
    <col min="9948" max="9948" width="12.453125" style="140" customWidth="1"/>
    <col min="9949" max="9949" width="18.1796875" style="140" customWidth="1"/>
    <col min="9950" max="9950" width="10.26953125" style="140" customWidth="1"/>
    <col min="9951" max="9951" width="11.54296875" style="140" customWidth="1"/>
    <col min="9952" max="10202" width="10.1796875" style="140"/>
    <col min="10203" max="10203" width="37.54296875" style="140" customWidth="1"/>
    <col min="10204" max="10204" width="12.453125" style="140" customWidth="1"/>
    <col min="10205" max="10205" width="18.1796875" style="140" customWidth="1"/>
    <col min="10206" max="10206" width="10.26953125" style="140" customWidth="1"/>
    <col min="10207" max="10207" width="11.54296875" style="140" customWidth="1"/>
    <col min="10208" max="10458" width="10.1796875" style="140"/>
    <col min="10459" max="10459" width="37.54296875" style="140" customWidth="1"/>
    <col min="10460" max="10460" width="12.453125" style="140" customWidth="1"/>
    <col min="10461" max="10461" width="18.1796875" style="140" customWidth="1"/>
    <col min="10462" max="10462" width="10.26953125" style="140" customWidth="1"/>
    <col min="10463" max="10463" width="11.54296875" style="140" customWidth="1"/>
    <col min="10464" max="10714" width="10.1796875" style="140"/>
    <col min="10715" max="10715" width="37.54296875" style="140" customWidth="1"/>
    <col min="10716" max="10716" width="12.453125" style="140" customWidth="1"/>
    <col min="10717" max="10717" width="18.1796875" style="140" customWidth="1"/>
    <col min="10718" max="10718" width="10.26953125" style="140" customWidth="1"/>
    <col min="10719" max="10719" width="11.54296875" style="140" customWidth="1"/>
    <col min="10720" max="10970" width="10.1796875" style="140"/>
    <col min="10971" max="10971" width="37.54296875" style="140" customWidth="1"/>
    <col min="10972" max="10972" width="12.453125" style="140" customWidth="1"/>
    <col min="10973" max="10973" width="18.1796875" style="140" customWidth="1"/>
    <col min="10974" max="10974" width="10.26953125" style="140" customWidth="1"/>
    <col min="10975" max="10975" width="11.54296875" style="140" customWidth="1"/>
    <col min="10976" max="11226" width="10.1796875" style="140"/>
    <col min="11227" max="11227" width="37.54296875" style="140" customWidth="1"/>
    <col min="11228" max="11228" width="12.453125" style="140" customWidth="1"/>
    <col min="11229" max="11229" width="18.1796875" style="140" customWidth="1"/>
    <col min="11230" max="11230" width="10.26953125" style="140" customWidth="1"/>
    <col min="11231" max="11231" width="11.54296875" style="140" customWidth="1"/>
    <col min="11232" max="11482" width="10.1796875" style="140"/>
    <col min="11483" max="11483" width="37.54296875" style="140" customWidth="1"/>
    <col min="11484" max="11484" width="12.453125" style="140" customWidth="1"/>
    <col min="11485" max="11485" width="18.1796875" style="140" customWidth="1"/>
    <col min="11486" max="11486" width="10.26953125" style="140" customWidth="1"/>
    <col min="11487" max="11487" width="11.54296875" style="140" customWidth="1"/>
    <col min="11488" max="11738" width="10.1796875" style="140"/>
    <col min="11739" max="11739" width="37.54296875" style="140" customWidth="1"/>
    <col min="11740" max="11740" width="12.453125" style="140" customWidth="1"/>
    <col min="11741" max="11741" width="18.1796875" style="140" customWidth="1"/>
    <col min="11742" max="11742" width="10.26953125" style="140" customWidth="1"/>
    <col min="11743" max="11743" width="11.54296875" style="140" customWidth="1"/>
    <col min="11744" max="11994" width="10.1796875" style="140"/>
    <col min="11995" max="11995" width="37.54296875" style="140" customWidth="1"/>
    <col min="11996" max="11996" width="12.453125" style="140" customWidth="1"/>
    <col min="11997" max="11997" width="18.1796875" style="140" customWidth="1"/>
    <col min="11998" max="11998" width="10.26953125" style="140" customWidth="1"/>
    <col min="11999" max="11999" width="11.54296875" style="140" customWidth="1"/>
    <col min="12000" max="12250" width="10.1796875" style="140"/>
    <col min="12251" max="12251" width="37.54296875" style="140" customWidth="1"/>
    <col min="12252" max="12252" width="12.453125" style="140" customWidth="1"/>
    <col min="12253" max="12253" width="18.1796875" style="140" customWidth="1"/>
    <col min="12254" max="12254" width="10.26953125" style="140" customWidth="1"/>
    <col min="12255" max="12255" width="11.54296875" style="140" customWidth="1"/>
    <col min="12256" max="12506" width="10.1796875" style="140"/>
    <col min="12507" max="12507" width="37.54296875" style="140" customWidth="1"/>
    <col min="12508" max="12508" width="12.453125" style="140" customWidth="1"/>
    <col min="12509" max="12509" width="18.1796875" style="140" customWidth="1"/>
    <col min="12510" max="12510" width="10.26953125" style="140" customWidth="1"/>
    <col min="12511" max="12511" width="11.54296875" style="140" customWidth="1"/>
    <col min="12512" max="12762" width="10.1796875" style="140"/>
    <col min="12763" max="12763" width="37.54296875" style="140" customWidth="1"/>
    <col min="12764" max="12764" width="12.453125" style="140" customWidth="1"/>
    <col min="12765" max="12765" width="18.1796875" style="140" customWidth="1"/>
    <col min="12766" max="12766" width="10.26953125" style="140" customWidth="1"/>
    <col min="12767" max="12767" width="11.54296875" style="140" customWidth="1"/>
    <col min="12768" max="13018" width="10.1796875" style="140"/>
    <col min="13019" max="13019" width="37.54296875" style="140" customWidth="1"/>
    <col min="13020" max="13020" width="12.453125" style="140" customWidth="1"/>
    <col min="13021" max="13021" width="18.1796875" style="140" customWidth="1"/>
    <col min="13022" max="13022" width="10.26953125" style="140" customWidth="1"/>
    <col min="13023" max="13023" width="11.54296875" style="140" customWidth="1"/>
    <col min="13024" max="13274" width="10.1796875" style="140"/>
    <col min="13275" max="13275" width="37.54296875" style="140" customWidth="1"/>
    <col min="13276" max="13276" width="12.453125" style="140" customWidth="1"/>
    <col min="13277" max="13277" width="18.1796875" style="140" customWidth="1"/>
    <col min="13278" max="13278" width="10.26953125" style="140" customWidth="1"/>
    <col min="13279" max="13279" width="11.54296875" style="140" customWidth="1"/>
    <col min="13280" max="13530" width="10.1796875" style="140"/>
    <col min="13531" max="13531" width="37.54296875" style="140" customWidth="1"/>
    <col min="13532" max="13532" width="12.453125" style="140" customWidth="1"/>
    <col min="13533" max="13533" width="18.1796875" style="140" customWidth="1"/>
    <col min="13534" max="13534" width="10.26953125" style="140" customWidth="1"/>
    <col min="13535" max="13535" width="11.54296875" style="140" customWidth="1"/>
    <col min="13536" max="13786" width="10.1796875" style="140"/>
    <col min="13787" max="13787" width="37.54296875" style="140" customWidth="1"/>
    <col min="13788" max="13788" width="12.453125" style="140" customWidth="1"/>
    <col min="13789" max="13789" width="18.1796875" style="140" customWidth="1"/>
    <col min="13790" max="13790" width="10.26953125" style="140" customWidth="1"/>
    <col min="13791" max="13791" width="11.54296875" style="140" customWidth="1"/>
    <col min="13792" max="14042" width="10.1796875" style="140"/>
    <col min="14043" max="14043" width="37.54296875" style="140" customWidth="1"/>
    <col min="14044" max="14044" width="12.453125" style="140" customWidth="1"/>
    <col min="14045" max="14045" width="18.1796875" style="140" customWidth="1"/>
    <col min="14046" max="14046" width="10.26953125" style="140" customWidth="1"/>
    <col min="14047" max="14047" width="11.54296875" style="140" customWidth="1"/>
    <col min="14048" max="14298" width="10.1796875" style="140"/>
    <col min="14299" max="14299" width="37.54296875" style="140" customWidth="1"/>
    <col min="14300" max="14300" width="12.453125" style="140" customWidth="1"/>
    <col min="14301" max="14301" width="18.1796875" style="140" customWidth="1"/>
    <col min="14302" max="14302" width="10.26953125" style="140" customWidth="1"/>
    <col min="14303" max="14303" width="11.54296875" style="140" customWidth="1"/>
    <col min="14304" max="14554" width="10.1796875" style="140"/>
    <col min="14555" max="14555" width="37.54296875" style="140" customWidth="1"/>
    <col min="14556" max="14556" width="12.453125" style="140" customWidth="1"/>
    <col min="14557" max="14557" width="18.1796875" style="140" customWidth="1"/>
    <col min="14558" max="14558" width="10.26953125" style="140" customWidth="1"/>
    <col min="14559" max="14559" width="11.54296875" style="140" customWidth="1"/>
    <col min="14560" max="14810" width="10.1796875" style="140"/>
    <col min="14811" max="14811" width="37.54296875" style="140" customWidth="1"/>
    <col min="14812" max="14812" width="12.453125" style="140" customWidth="1"/>
    <col min="14813" max="14813" width="18.1796875" style="140" customWidth="1"/>
    <col min="14814" max="14814" width="10.26953125" style="140" customWidth="1"/>
    <col min="14815" max="14815" width="11.54296875" style="140" customWidth="1"/>
    <col min="14816" max="15066" width="10.1796875" style="140"/>
    <col min="15067" max="15067" width="37.54296875" style="140" customWidth="1"/>
    <col min="15068" max="15068" width="12.453125" style="140" customWidth="1"/>
    <col min="15069" max="15069" width="18.1796875" style="140" customWidth="1"/>
    <col min="15070" max="15070" width="10.26953125" style="140" customWidth="1"/>
    <col min="15071" max="15071" width="11.54296875" style="140" customWidth="1"/>
    <col min="15072" max="15322" width="10.1796875" style="140"/>
    <col min="15323" max="15323" width="37.54296875" style="140" customWidth="1"/>
    <col min="15324" max="15324" width="12.453125" style="140" customWidth="1"/>
    <col min="15325" max="15325" width="18.1796875" style="140" customWidth="1"/>
    <col min="15326" max="15326" width="10.26953125" style="140" customWidth="1"/>
    <col min="15327" max="15327" width="11.54296875" style="140" customWidth="1"/>
    <col min="15328" max="15578" width="10.1796875" style="140"/>
    <col min="15579" max="15579" width="37.54296875" style="140" customWidth="1"/>
    <col min="15580" max="15580" width="12.453125" style="140" customWidth="1"/>
    <col min="15581" max="15581" width="18.1796875" style="140" customWidth="1"/>
    <col min="15582" max="15582" width="10.26953125" style="140" customWidth="1"/>
    <col min="15583" max="15583" width="11.54296875" style="140" customWidth="1"/>
    <col min="15584" max="15834" width="10.1796875" style="140"/>
    <col min="15835" max="15835" width="37.54296875" style="140" customWidth="1"/>
    <col min="15836" max="15836" width="12.453125" style="140" customWidth="1"/>
    <col min="15837" max="15837" width="18.1796875" style="140" customWidth="1"/>
    <col min="15838" max="15838" width="10.26953125" style="140" customWidth="1"/>
    <col min="15839" max="15839" width="11.54296875" style="140" customWidth="1"/>
    <col min="15840" max="16090" width="10.1796875" style="140"/>
    <col min="16091" max="16091" width="37.54296875" style="140" customWidth="1"/>
    <col min="16092" max="16092" width="12.453125" style="140" customWidth="1"/>
    <col min="16093" max="16093" width="18.1796875" style="140" customWidth="1"/>
    <col min="16094" max="16094" width="10.26953125" style="140" customWidth="1"/>
    <col min="16095" max="16095" width="11.54296875" style="140" customWidth="1"/>
    <col min="16096" max="16384" width="10.1796875" style="140"/>
  </cols>
  <sheetData>
    <row r="1" spans="1:11" ht="12" customHeight="1"/>
    <row r="2" spans="1:11" ht="12" customHeight="1"/>
    <row r="3" spans="1:11" ht="12" customHeight="1"/>
    <row r="4" spans="1:11" ht="12" customHeight="1">
      <c r="A4" s="141" t="s">
        <v>47</v>
      </c>
      <c r="B4" s="142"/>
      <c r="C4" s="142"/>
      <c r="D4" s="142"/>
      <c r="E4" s="142"/>
      <c r="F4" s="142"/>
      <c r="G4" s="142"/>
    </row>
    <row r="5" spans="1:11" ht="24" customHeight="1">
      <c r="A5" s="757" t="s">
        <v>536</v>
      </c>
      <c r="B5" s="757"/>
      <c r="C5" s="757"/>
      <c r="D5" s="757"/>
      <c r="E5" s="757"/>
      <c r="F5" s="757"/>
      <c r="G5" s="757"/>
      <c r="H5" s="757"/>
      <c r="I5" s="757"/>
      <c r="J5" s="757"/>
      <c r="K5" s="757"/>
    </row>
    <row r="6" spans="1:11" ht="12" customHeight="1">
      <c r="A6" s="143" t="s">
        <v>537</v>
      </c>
      <c r="B6" s="144"/>
      <c r="C6" s="144"/>
      <c r="D6" s="144"/>
      <c r="E6" s="144"/>
      <c r="F6" s="144"/>
      <c r="G6" s="144"/>
    </row>
    <row r="7" spans="1:11" ht="6" customHeight="1">
      <c r="B7" s="145"/>
      <c r="C7" s="145"/>
      <c r="D7" s="145"/>
      <c r="E7" s="145"/>
      <c r="F7" s="145"/>
      <c r="G7" s="145"/>
    </row>
    <row r="8" spans="1:11" ht="30" customHeight="1">
      <c r="A8" s="758" t="s">
        <v>219</v>
      </c>
      <c r="B8" s="760" t="s">
        <v>538</v>
      </c>
      <c r="C8" s="760"/>
      <c r="D8" s="593"/>
      <c r="E8" s="760" t="s">
        <v>539</v>
      </c>
      <c r="F8" s="760"/>
      <c r="G8" s="760"/>
      <c r="H8" s="760"/>
      <c r="J8" s="761" t="s">
        <v>540</v>
      </c>
      <c r="K8" s="761"/>
    </row>
    <row r="9" spans="1:11" ht="20.5" customHeight="1">
      <c r="A9" s="652"/>
      <c r="B9" s="762" t="s">
        <v>58</v>
      </c>
      <c r="C9" s="764" t="s">
        <v>541</v>
      </c>
      <c r="D9" s="444"/>
      <c r="E9" s="766" t="s">
        <v>542</v>
      </c>
      <c r="F9" s="594" t="s">
        <v>543</v>
      </c>
      <c r="G9" s="152" t="s">
        <v>273</v>
      </c>
      <c r="H9" s="595" t="s">
        <v>273</v>
      </c>
      <c r="J9" s="768" t="s">
        <v>544</v>
      </c>
      <c r="K9" s="768" t="s">
        <v>545</v>
      </c>
    </row>
    <row r="10" spans="1:11" ht="30" customHeight="1">
      <c r="A10" s="759"/>
      <c r="B10" s="763"/>
      <c r="C10" s="765"/>
      <c r="D10" s="442"/>
      <c r="E10" s="767"/>
      <c r="F10" s="441"/>
      <c r="G10" s="442" t="s">
        <v>546</v>
      </c>
      <c r="H10" s="442" t="s">
        <v>547</v>
      </c>
      <c r="J10" s="769"/>
      <c r="K10" s="769"/>
    </row>
    <row r="11" spans="1:11" ht="3" customHeight="1">
      <c r="A11" s="146"/>
    </row>
    <row r="12" spans="1:11" ht="3" customHeight="1">
      <c r="A12" s="146"/>
    </row>
    <row r="13" spans="1:11" ht="9.75" customHeight="1">
      <c r="A13" s="121">
        <v>2019</v>
      </c>
      <c r="B13" s="3">
        <v>281</v>
      </c>
      <c r="C13" s="153">
        <v>9.1714867290055777E-2</v>
      </c>
      <c r="D13" s="3"/>
      <c r="E13" s="3">
        <v>50645</v>
      </c>
      <c r="F13" s="3">
        <v>33005</v>
      </c>
      <c r="G13" s="3">
        <v>22802</v>
      </c>
      <c r="H13" s="3">
        <v>21309</v>
      </c>
      <c r="J13" s="1">
        <v>89.32384341637011</v>
      </c>
      <c r="K13" s="1">
        <v>98.220640569395016</v>
      </c>
    </row>
    <row r="14" spans="1:11" ht="9.75" customHeight="1">
      <c r="A14" s="121">
        <v>2020</v>
      </c>
      <c r="B14" s="3">
        <v>263</v>
      </c>
      <c r="C14" s="153">
        <v>0.09</v>
      </c>
      <c r="D14" s="3"/>
      <c r="E14" s="3">
        <v>54609</v>
      </c>
      <c r="F14" s="3">
        <v>30359</v>
      </c>
      <c r="G14" s="3">
        <v>20223</v>
      </c>
      <c r="H14" s="3">
        <v>17614</v>
      </c>
      <c r="J14" s="1">
        <v>66.159695817490487</v>
      </c>
      <c r="K14" s="1">
        <v>96.197718631178702</v>
      </c>
    </row>
    <row r="15" spans="1:11" ht="9.75" customHeight="1">
      <c r="A15" s="121">
        <v>2021</v>
      </c>
      <c r="B15" s="3">
        <v>307</v>
      </c>
      <c r="C15" s="153">
        <v>0.1</v>
      </c>
      <c r="D15" s="3"/>
      <c r="E15" s="3">
        <v>56349</v>
      </c>
      <c r="F15" s="3">
        <v>34500</v>
      </c>
      <c r="G15" s="3">
        <v>23083</v>
      </c>
      <c r="H15" s="3">
        <v>21252</v>
      </c>
      <c r="J15" s="1">
        <v>85.667752442996743</v>
      </c>
      <c r="K15" s="1">
        <v>97.068403908794792</v>
      </c>
    </row>
    <row r="16" spans="1:11" ht="9.75" customHeight="1">
      <c r="A16" s="121">
        <v>2022</v>
      </c>
      <c r="B16" s="3">
        <v>349</v>
      </c>
      <c r="C16" s="153">
        <v>0.12</v>
      </c>
      <c r="D16" s="3"/>
      <c r="E16" s="3">
        <v>60751</v>
      </c>
      <c r="F16" s="3">
        <v>35978</v>
      </c>
      <c r="G16" s="3">
        <v>24281</v>
      </c>
      <c r="H16" s="3">
        <v>22562</v>
      </c>
      <c r="J16" s="1">
        <v>89.4</v>
      </c>
      <c r="K16" s="1">
        <v>96.3</v>
      </c>
    </row>
    <row r="17" spans="1:11" ht="10.5" customHeight="1">
      <c r="A17" s="121"/>
      <c r="B17" s="3"/>
      <c r="C17" s="3"/>
      <c r="D17" s="3"/>
      <c r="E17" s="3"/>
      <c r="F17" s="3"/>
      <c r="G17" s="3"/>
    </row>
    <row r="18" spans="1:11" ht="12.75" customHeight="1">
      <c r="A18" s="613" t="s">
        <v>412</v>
      </c>
      <c r="B18" s="613"/>
      <c r="C18" s="613"/>
      <c r="D18" s="613"/>
      <c r="E18" s="613"/>
      <c r="F18" s="613"/>
      <c r="G18" s="613"/>
      <c r="H18" s="613"/>
      <c r="I18" s="613"/>
      <c r="J18" s="613"/>
      <c r="K18" s="613"/>
    </row>
    <row r="19" spans="1:11" ht="10.5" customHeight="1">
      <c r="A19" s="445" t="s">
        <v>226</v>
      </c>
      <c r="B19" s="147">
        <v>21</v>
      </c>
      <c r="C19" s="153">
        <v>9.6468450797070573E-2</v>
      </c>
      <c r="D19" s="3"/>
      <c r="E19" s="3">
        <v>11281</v>
      </c>
      <c r="F19" s="3">
        <v>3635</v>
      </c>
      <c r="G19" s="3">
        <v>2604</v>
      </c>
      <c r="H19" s="3">
        <v>2210</v>
      </c>
      <c r="I19" s="147"/>
      <c r="J19" s="1">
        <v>100</v>
      </c>
      <c r="K19" s="1">
        <v>100</v>
      </c>
    </row>
    <row r="20" spans="1:11" ht="10.5" customHeight="1">
      <c r="A20" s="154" t="s">
        <v>227</v>
      </c>
      <c r="B20" s="147">
        <v>1</v>
      </c>
      <c r="C20" s="153">
        <v>0.15949472072474402</v>
      </c>
      <c r="D20" s="3"/>
      <c r="E20" s="3">
        <v>84</v>
      </c>
      <c r="F20" s="3">
        <v>84</v>
      </c>
      <c r="G20" s="3">
        <v>65</v>
      </c>
      <c r="H20" s="3">
        <v>46</v>
      </c>
      <c r="I20" s="147"/>
      <c r="J20" s="1">
        <v>100</v>
      </c>
      <c r="K20" s="1">
        <v>100</v>
      </c>
    </row>
    <row r="21" spans="1:11" ht="10.5" customHeight="1">
      <c r="A21" s="445" t="s">
        <v>229</v>
      </c>
      <c r="B21" s="147">
        <v>11</v>
      </c>
      <c r="C21" s="153">
        <v>0.14088629003492059</v>
      </c>
      <c r="D21" s="3"/>
      <c r="E21" s="3">
        <v>1709</v>
      </c>
      <c r="F21" s="3">
        <v>1469</v>
      </c>
      <c r="G21" s="3">
        <v>934</v>
      </c>
      <c r="H21" s="3">
        <v>821</v>
      </c>
      <c r="I21" s="147"/>
      <c r="J21" s="1">
        <v>100</v>
      </c>
      <c r="K21" s="1">
        <v>100</v>
      </c>
    </row>
    <row r="22" spans="1:11" ht="10.5" customHeight="1">
      <c r="A22" s="445" t="s">
        <v>230</v>
      </c>
      <c r="B22" s="147">
        <v>53</v>
      </c>
      <c r="C22" s="153">
        <v>0.10427283518527462</v>
      </c>
      <c r="D22" s="3"/>
      <c r="E22" s="3">
        <v>10033</v>
      </c>
      <c r="F22" s="3">
        <v>8527</v>
      </c>
      <c r="G22" s="3">
        <v>5607</v>
      </c>
      <c r="H22" s="3">
        <v>4965</v>
      </c>
      <c r="I22" s="147"/>
      <c r="J22" s="1">
        <v>100</v>
      </c>
      <c r="K22" s="1">
        <v>100</v>
      </c>
    </row>
    <row r="23" spans="1:11" ht="10.5" customHeight="1">
      <c r="A23" s="154" t="s">
        <v>231</v>
      </c>
      <c r="B23" s="147">
        <v>5</v>
      </c>
      <c r="C23" s="153">
        <v>9.1634586925027323E-2</v>
      </c>
      <c r="D23" s="3"/>
      <c r="E23" s="3">
        <v>1873</v>
      </c>
      <c r="F23" s="3">
        <v>1045</v>
      </c>
      <c r="G23" s="3">
        <v>760</v>
      </c>
      <c r="H23" s="3">
        <v>468</v>
      </c>
      <c r="I23" s="147"/>
      <c r="J23" s="1">
        <v>100</v>
      </c>
      <c r="K23" s="1">
        <v>100</v>
      </c>
    </row>
    <row r="24" spans="1:11" ht="10.5" customHeight="1">
      <c r="A24" s="155" t="s">
        <v>232</v>
      </c>
      <c r="B24" s="446">
        <v>4</v>
      </c>
      <c r="C24" s="447">
        <v>0.14814348437178829</v>
      </c>
      <c r="D24" s="4"/>
      <c r="E24" s="4">
        <v>1463</v>
      </c>
      <c r="F24" s="4">
        <v>635</v>
      </c>
      <c r="G24" s="4">
        <v>418</v>
      </c>
      <c r="H24" s="4">
        <v>419</v>
      </c>
      <c r="I24" s="446"/>
      <c r="J24" s="59">
        <v>100</v>
      </c>
      <c r="K24" s="59">
        <v>100</v>
      </c>
    </row>
    <row r="25" spans="1:11" ht="10.5" customHeight="1">
      <c r="A25" s="448" t="s">
        <v>75</v>
      </c>
      <c r="B25" s="446">
        <v>1</v>
      </c>
      <c r="C25" s="447">
        <v>3.6279599618338612E-2</v>
      </c>
      <c r="D25" s="4"/>
      <c r="E25" s="4">
        <v>410</v>
      </c>
      <c r="F25" s="4">
        <v>410</v>
      </c>
      <c r="G25" s="4">
        <v>342</v>
      </c>
      <c r="H25" s="4">
        <v>49</v>
      </c>
      <c r="I25" s="446"/>
      <c r="J25" s="59">
        <v>100</v>
      </c>
      <c r="K25" s="59">
        <v>100</v>
      </c>
    </row>
    <row r="26" spans="1:11" ht="10.5" customHeight="1">
      <c r="A26" s="445" t="s">
        <v>233</v>
      </c>
      <c r="B26" s="147">
        <v>25</v>
      </c>
      <c r="C26" s="153">
        <v>0.10138491797960136</v>
      </c>
      <c r="D26" s="3"/>
      <c r="E26" s="3">
        <v>4528</v>
      </c>
      <c r="F26" s="3">
        <v>3628</v>
      </c>
      <c r="G26" s="3">
        <v>2187</v>
      </c>
      <c r="H26" s="3">
        <v>2406</v>
      </c>
      <c r="I26" s="147"/>
      <c r="J26" s="1">
        <v>100</v>
      </c>
      <c r="K26" s="1">
        <v>96</v>
      </c>
    </row>
    <row r="27" spans="1:11" ht="10.5" customHeight="1">
      <c r="A27" s="445" t="s">
        <v>234</v>
      </c>
      <c r="B27" s="147">
        <v>8</v>
      </c>
      <c r="C27" s="153">
        <v>0.13085750925816877</v>
      </c>
      <c r="D27" s="3"/>
      <c r="E27" s="3">
        <v>2073</v>
      </c>
      <c r="F27" s="3">
        <v>1483</v>
      </c>
      <c r="G27" s="3">
        <v>998</v>
      </c>
      <c r="H27" s="3">
        <v>862</v>
      </c>
      <c r="I27" s="147"/>
      <c r="J27" s="1">
        <v>100</v>
      </c>
      <c r="K27" s="1">
        <v>100</v>
      </c>
    </row>
    <row r="28" spans="1:11" ht="10.5" customHeight="1">
      <c r="A28" s="445" t="s">
        <v>235</v>
      </c>
      <c r="B28" s="147">
        <v>23</v>
      </c>
      <c r="C28" s="153">
        <v>0.10136456537188125</v>
      </c>
      <c r="D28" s="3"/>
      <c r="E28" s="3">
        <v>5540</v>
      </c>
      <c r="F28" s="3">
        <v>3585</v>
      </c>
      <c r="G28" s="3">
        <v>2410</v>
      </c>
      <c r="H28" s="3">
        <v>2476</v>
      </c>
      <c r="I28" s="147"/>
      <c r="J28" s="1">
        <v>95.652173913043484</v>
      </c>
      <c r="K28" s="1">
        <v>100</v>
      </c>
    </row>
    <row r="29" spans="1:11" ht="10.5" customHeight="1">
      <c r="A29" s="445" t="s">
        <v>236</v>
      </c>
      <c r="B29" s="147">
        <v>25</v>
      </c>
      <c r="C29" s="153">
        <v>0.13267667225677712</v>
      </c>
      <c r="D29" s="3"/>
      <c r="E29" s="3">
        <v>4859</v>
      </c>
      <c r="F29" s="3">
        <v>3282</v>
      </c>
      <c r="G29" s="3">
        <v>2007</v>
      </c>
      <c r="H29" s="3">
        <v>2028</v>
      </c>
      <c r="I29" s="147"/>
      <c r="J29" s="1">
        <v>92</v>
      </c>
      <c r="K29" s="1">
        <v>100</v>
      </c>
    </row>
    <row r="30" spans="1:11" ht="10.5" customHeight="1">
      <c r="A30" s="445" t="s">
        <v>237</v>
      </c>
      <c r="B30" s="147">
        <v>5</v>
      </c>
      <c r="C30" s="153">
        <v>0.11329223846203521</v>
      </c>
      <c r="D30" s="3"/>
      <c r="E30" s="3">
        <v>457</v>
      </c>
      <c r="F30" s="3">
        <v>326</v>
      </c>
      <c r="G30" s="3">
        <v>209</v>
      </c>
      <c r="H30" s="3">
        <v>205</v>
      </c>
      <c r="I30" s="147"/>
      <c r="J30" s="1">
        <v>100</v>
      </c>
      <c r="K30" s="1">
        <v>100</v>
      </c>
    </row>
    <row r="31" spans="1:11" ht="10.5" customHeight="1">
      <c r="A31" s="445" t="s">
        <v>238</v>
      </c>
      <c r="B31" s="147">
        <v>5</v>
      </c>
      <c r="C31" s="153">
        <v>6.5920403749288883E-2</v>
      </c>
      <c r="D31" s="3"/>
      <c r="E31" s="3">
        <v>747</v>
      </c>
      <c r="F31" s="3">
        <v>906</v>
      </c>
      <c r="G31" s="3">
        <v>562</v>
      </c>
      <c r="H31" s="3">
        <v>433</v>
      </c>
      <c r="I31" s="147"/>
      <c r="J31" s="449">
        <v>100</v>
      </c>
      <c r="K31" s="1">
        <v>100</v>
      </c>
    </row>
    <row r="32" spans="1:11" ht="10.5" customHeight="1">
      <c r="A32" s="445" t="s">
        <v>239</v>
      </c>
      <c r="B32" s="147">
        <v>44</v>
      </c>
      <c r="C32" s="153">
        <v>0.14921657904714361</v>
      </c>
      <c r="D32" s="3"/>
      <c r="E32" s="3">
        <v>6862</v>
      </c>
      <c r="F32" s="3">
        <v>3848</v>
      </c>
      <c r="G32" s="3">
        <v>2231</v>
      </c>
      <c r="H32" s="3">
        <v>2295</v>
      </c>
      <c r="I32" s="147"/>
      <c r="J32" s="1">
        <v>93.181818181818173</v>
      </c>
      <c r="K32" s="1">
        <v>95.454545454545453</v>
      </c>
    </row>
    <row r="33" spans="1:11" ht="10.5" customHeight="1">
      <c r="A33" s="445" t="s">
        <v>240</v>
      </c>
      <c r="B33" s="147">
        <v>13</v>
      </c>
      <c r="C33" s="153">
        <v>0.20035045918784089</v>
      </c>
      <c r="D33" s="3"/>
      <c r="E33" s="3">
        <v>1279</v>
      </c>
      <c r="F33" s="3">
        <v>918</v>
      </c>
      <c r="G33" s="3">
        <v>466</v>
      </c>
      <c r="H33" s="3">
        <v>584</v>
      </c>
      <c r="I33" s="147"/>
      <c r="J33" s="1">
        <v>92.307692307692307</v>
      </c>
      <c r="K33" s="1">
        <v>100</v>
      </c>
    </row>
    <row r="34" spans="1:11" ht="10.5" customHeight="1">
      <c r="A34" s="445" t="s">
        <v>241</v>
      </c>
      <c r="B34" s="147">
        <v>3</v>
      </c>
      <c r="C34" s="153">
        <v>0.20473553287540819</v>
      </c>
      <c r="D34" s="3"/>
      <c r="E34" s="3">
        <v>68</v>
      </c>
      <c r="F34" s="3">
        <v>20</v>
      </c>
      <c r="G34" s="3">
        <v>5</v>
      </c>
      <c r="H34" s="3">
        <v>12</v>
      </c>
      <c r="I34" s="147"/>
      <c r="J34" s="1">
        <v>66.666666666666657</v>
      </c>
      <c r="K34" s="1">
        <v>66.666666666666657</v>
      </c>
    </row>
    <row r="35" spans="1:11" ht="10.5" customHeight="1">
      <c r="A35" s="445" t="s">
        <v>242</v>
      </c>
      <c r="B35" s="147">
        <v>52</v>
      </c>
      <c r="C35" s="153">
        <v>0.18153708497174917</v>
      </c>
      <c r="D35" s="3"/>
      <c r="E35" s="3">
        <v>3213</v>
      </c>
      <c r="F35" s="3">
        <v>2533</v>
      </c>
      <c r="G35" s="3">
        <v>1616</v>
      </c>
      <c r="H35" s="3">
        <v>1215</v>
      </c>
      <c r="I35" s="147"/>
      <c r="J35" s="1">
        <v>94.230769230769226</v>
      </c>
      <c r="K35" s="1">
        <v>96.15384615384616</v>
      </c>
    </row>
    <row r="36" spans="1:11" ht="10.5" customHeight="1">
      <c r="A36" s="445" t="s">
        <v>243</v>
      </c>
      <c r="B36" s="147">
        <v>25</v>
      </c>
      <c r="C36" s="153">
        <v>0.12512071020517043</v>
      </c>
      <c r="D36" s="3"/>
      <c r="E36" s="3">
        <v>2489</v>
      </c>
      <c r="F36" s="3">
        <v>2060</v>
      </c>
      <c r="G36" s="3">
        <v>1095</v>
      </c>
      <c r="H36" s="3">
        <v>1171</v>
      </c>
      <c r="I36" s="147"/>
      <c r="J36" s="1">
        <v>96</v>
      </c>
      <c r="K36" s="1">
        <v>100</v>
      </c>
    </row>
    <row r="37" spans="1:11" ht="10.5" customHeight="1">
      <c r="A37" s="445" t="s">
        <v>244</v>
      </c>
      <c r="B37" s="450">
        <v>1</v>
      </c>
      <c r="C37" s="450">
        <v>3.6886213408876302E-2</v>
      </c>
      <c r="D37" s="450"/>
      <c r="E37" s="450">
        <v>119</v>
      </c>
      <c r="F37" s="450">
        <v>75</v>
      </c>
      <c r="G37" s="450">
        <v>30</v>
      </c>
      <c r="H37" s="450">
        <v>30</v>
      </c>
      <c r="I37" s="147"/>
      <c r="J37" s="1">
        <v>100</v>
      </c>
      <c r="K37" s="1">
        <v>100</v>
      </c>
    </row>
    <row r="38" spans="1:11" ht="10.5" customHeight="1">
      <c r="A38" s="445" t="s">
        <v>245</v>
      </c>
      <c r="B38" s="147">
        <v>11</v>
      </c>
      <c r="C38" s="153">
        <v>0.11704057583963313</v>
      </c>
      <c r="D38" s="3"/>
      <c r="E38" s="3">
        <v>688</v>
      </c>
      <c r="F38" s="3">
        <v>415</v>
      </c>
      <c r="G38" s="3">
        <v>255</v>
      </c>
      <c r="H38" s="3">
        <v>199</v>
      </c>
      <c r="I38" s="147"/>
      <c r="J38" s="1">
        <v>100</v>
      </c>
      <c r="K38" s="1">
        <v>100</v>
      </c>
    </row>
    <row r="39" spans="1:11" ht="10.5" customHeight="1">
      <c r="A39" s="445" t="s">
        <v>246</v>
      </c>
      <c r="B39" s="147">
        <v>20</v>
      </c>
      <c r="C39" s="153">
        <v>8.1224854561821366E-2</v>
      </c>
      <c r="D39" s="3"/>
      <c r="E39" s="3">
        <v>1685</v>
      </c>
      <c r="F39" s="3">
        <v>884</v>
      </c>
      <c r="G39" s="3">
        <v>505</v>
      </c>
      <c r="H39" s="3">
        <v>522</v>
      </c>
      <c r="I39" s="147"/>
      <c r="J39" s="1">
        <v>95</v>
      </c>
      <c r="K39" s="1">
        <v>100</v>
      </c>
    </row>
    <row r="40" spans="1:11" ht="10.5" customHeight="1">
      <c r="A40" s="445" t="s">
        <v>415</v>
      </c>
      <c r="B40" s="147">
        <v>12</v>
      </c>
      <c r="C40" s="153">
        <v>0.14971852916516948</v>
      </c>
      <c r="D40" s="3"/>
      <c r="E40" s="3">
        <v>1927</v>
      </c>
      <c r="F40" s="3">
        <v>1233</v>
      </c>
      <c r="G40" s="3">
        <v>419</v>
      </c>
      <c r="H40" s="3">
        <v>799</v>
      </c>
      <c r="I40" s="147"/>
      <c r="J40" s="1">
        <v>83.333333333333343</v>
      </c>
      <c r="K40" s="1">
        <v>100</v>
      </c>
    </row>
    <row r="41" spans="1:11" ht="10.5" customHeight="1">
      <c r="A41" s="148" t="s">
        <v>248</v>
      </c>
      <c r="B41" s="451">
        <v>86</v>
      </c>
      <c r="C41" s="149">
        <v>0.10613135000990045</v>
      </c>
      <c r="D41" s="5"/>
      <c r="E41" s="5">
        <v>23107</v>
      </c>
      <c r="F41" s="5">
        <v>13715</v>
      </c>
      <c r="G41" s="5">
        <v>9210</v>
      </c>
      <c r="H41" s="5">
        <v>8042</v>
      </c>
      <c r="I41" s="451"/>
      <c r="J41" s="6">
        <v>100</v>
      </c>
      <c r="K41" s="6">
        <v>100</v>
      </c>
    </row>
    <row r="42" spans="1:11" ht="10.5" customHeight="1">
      <c r="A42" s="148" t="s">
        <v>249</v>
      </c>
      <c r="B42" s="451">
        <v>61</v>
      </c>
      <c r="C42" s="149">
        <v>0.1035322311959585</v>
      </c>
      <c r="D42" s="5"/>
      <c r="E42" s="5">
        <v>14014</v>
      </c>
      <c r="F42" s="5">
        <v>9741</v>
      </c>
      <c r="G42" s="5">
        <v>6355</v>
      </c>
      <c r="H42" s="5">
        <v>6212</v>
      </c>
      <c r="I42" s="451"/>
      <c r="J42" s="6">
        <v>98.360655737704917</v>
      </c>
      <c r="K42" s="6">
        <v>98.360655737704917</v>
      </c>
    </row>
    <row r="43" spans="1:11" ht="10.5" customHeight="1">
      <c r="A43" s="148" t="s">
        <v>250</v>
      </c>
      <c r="B43" s="451">
        <v>79</v>
      </c>
      <c r="C43" s="149">
        <v>0.13094991232157452</v>
      </c>
      <c r="D43" s="5"/>
      <c r="E43" s="5">
        <v>12925</v>
      </c>
      <c r="F43" s="5">
        <v>8362</v>
      </c>
      <c r="G43" s="5">
        <v>5009</v>
      </c>
      <c r="H43" s="5">
        <v>4961</v>
      </c>
      <c r="I43" s="451"/>
      <c r="J43" s="6">
        <v>93.670886075949369</v>
      </c>
      <c r="K43" s="6">
        <v>97.468354430379748</v>
      </c>
    </row>
    <row r="44" spans="1:11" ht="10.5" customHeight="1">
      <c r="A44" s="148" t="s">
        <v>251</v>
      </c>
      <c r="B44" s="451">
        <v>105</v>
      </c>
      <c r="C44" s="149">
        <v>0.15286419457602898</v>
      </c>
      <c r="D44" s="5"/>
      <c r="E44" s="5">
        <v>7856</v>
      </c>
      <c r="F44" s="5">
        <v>6021</v>
      </c>
      <c r="G44" s="5">
        <v>3467</v>
      </c>
      <c r="H44" s="5">
        <v>3211</v>
      </c>
      <c r="I44" s="451"/>
      <c r="J44" s="6">
        <v>94.285714285714278</v>
      </c>
      <c r="K44" s="6">
        <v>97.142857142857139</v>
      </c>
    </row>
    <row r="45" spans="1:11" ht="10.5" customHeight="1">
      <c r="A45" s="148" t="s">
        <v>252</v>
      </c>
      <c r="B45" s="451">
        <v>32</v>
      </c>
      <c r="C45" s="149">
        <v>9.8045073158476062E-2</v>
      </c>
      <c r="D45" s="5"/>
      <c r="E45" s="5">
        <v>3612</v>
      </c>
      <c r="F45" s="5">
        <v>2117</v>
      </c>
      <c r="G45" s="5">
        <v>924</v>
      </c>
      <c r="H45" s="5">
        <v>1321</v>
      </c>
      <c r="I45" s="451"/>
      <c r="J45" s="6">
        <v>90.625</v>
      </c>
      <c r="K45" s="6">
        <v>100</v>
      </c>
    </row>
    <row r="46" spans="1:11" ht="10.5" customHeight="1">
      <c r="A46" s="156" t="s">
        <v>253</v>
      </c>
      <c r="B46" s="452">
        <v>363</v>
      </c>
      <c r="C46" s="453">
        <v>0.1203559412574812</v>
      </c>
      <c r="D46" s="454"/>
      <c r="E46" s="454">
        <v>61514</v>
      </c>
      <c r="F46" s="454">
        <v>39956</v>
      </c>
      <c r="G46" s="454">
        <v>24965</v>
      </c>
      <c r="H46" s="454">
        <v>23747</v>
      </c>
      <c r="I46" s="456"/>
      <c r="J46" s="455">
        <v>95.867768595041326</v>
      </c>
      <c r="K46" s="455">
        <v>98.347107438016536</v>
      </c>
    </row>
    <row r="47" spans="1:11" ht="3" customHeight="1">
      <c r="A47" s="148"/>
      <c r="B47" s="5"/>
      <c r="C47" s="5"/>
      <c r="D47" s="5"/>
      <c r="E47" s="5"/>
      <c r="F47" s="5"/>
      <c r="G47" s="149"/>
      <c r="H47" s="150"/>
    </row>
    <row r="48" spans="1:11" ht="10.5" customHeight="1">
      <c r="A48" s="652" t="s">
        <v>548</v>
      </c>
      <c r="B48" s="652"/>
      <c r="C48" s="652"/>
      <c r="D48" s="652"/>
      <c r="E48" s="652"/>
      <c r="F48" s="652"/>
      <c r="G48" s="652"/>
      <c r="H48" s="150"/>
      <c r="I48" s="150"/>
    </row>
    <row r="49" spans="1:14" ht="10.5" customHeight="1">
      <c r="A49" s="652" t="s">
        <v>549</v>
      </c>
      <c r="B49" s="652"/>
      <c r="C49" s="652"/>
      <c r="D49" s="652"/>
      <c r="E49" s="652"/>
      <c r="F49" s="652"/>
      <c r="G49" s="652"/>
      <c r="H49" s="150"/>
      <c r="N49" s="151"/>
    </row>
    <row r="50" spans="1:14" ht="10.5" customHeight="1">
      <c r="A50" s="652"/>
      <c r="B50" s="652"/>
      <c r="C50" s="652"/>
      <c r="D50" s="652"/>
      <c r="E50" s="652"/>
      <c r="F50" s="652"/>
      <c r="G50" s="652"/>
      <c r="H50" s="652"/>
    </row>
    <row r="51" spans="1:14" ht="10.5" customHeight="1">
      <c r="G51" s="500"/>
    </row>
    <row r="53" spans="1:14">
      <c r="E53" s="151"/>
    </row>
    <row r="54" spans="1:14">
      <c r="B54" s="457"/>
    </row>
    <row r="56" spans="1:14">
      <c r="B56" s="457"/>
    </row>
  </sheetData>
  <mergeCells count="14">
    <mergeCell ref="A48:G48"/>
    <mergeCell ref="A49:G49"/>
    <mergeCell ref="A50:H50"/>
    <mergeCell ref="A18:K18"/>
    <mergeCell ref="A5:K5"/>
    <mergeCell ref="A8:A10"/>
    <mergeCell ref="B8:C8"/>
    <mergeCell ref="E8:H8"/>
    <mergeCell ref="J8:K8"/>
    <mergeCell ref="B9:B10"/>
    <mergeCell ref="C9:C10"/>
    <mergeCell ref="E9:E10"/>
    <mergeCell ref="J9:J10"/>
    <mergeCell ref="K9:K10"/>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U56"/>
  <sheetViews>
    <sheetView zoomScale="98" zoomScaleNormal="98" workbookViewId="0">
      <selection activeCell="A4" sqref="A4"/>
    </sheetView>
  </sheetViews>
  <sheetFormatPr defaultColWidth="8.81640625" defaultRowHeight="12.5"/>
  <cols>
    <col min="1" max="1" width="22.7265625" style="140" customWidth="1"/>
    <col min="2" max="3" width="8.81640625" style="140" customWidth="1"/>
    <col min="4" max="4" width="0.81640625" style="140" customWidth="1"/>
    <col min="5" max="5" width="9.54296875" style="140" customWidth="1"/>
    <col min="6" max="6" width="0.81640625" style="140" customWidth="1"/>
    <col min="7" max="8" width="8.81640625" style="140" customWidth="1"/>
    <col min="9" max="9" width="0.81640625" style="140" customWidth="1"/>
    <col min="10" max="10" width="9.453125" style="140" customWidth="1"/>
    <col min="11" max="15" width="8.81640625" style="140"/>
    <col min="16" max="16" width="10.54296875" style="140" bestFit="1" customWidth="1"/>
    <col min="17" max="233" width="8.81640625" style="140"/>
    <col min="234" max="234" width="32.81640625" style="140" customWidth="1"/>
    <col min="235" max="235" width="10.81640625" style="140" customWidth="1"/>
    <col min="236" max="236" width="15.81640625" style="140" customWidth="1"/>
    <col min="237" max="237" width="9" style="140" customWidth="1"/>
    <col min="238" max="238" width="10.1796875" style="140" customWidth="1"/>
    <col min="239" max="489" width="8.81640625" style="140"/>
    <col min="490" max="490" width="32.81640625" style="140" customWidth="1"/>
    <col min="491" max="491" width="10.81640625" style="140" customWidth="1"/>
    <col min="492" max="492" width="15.81640625" style="140" customWidth="1"/>
    <col min="493" max="493" width="9" style="140" customWidth="1"/>
    <col min="494" max="494" width="10.1796875" style="140" customWidth="1"/>
    <col min="495" max="745" width="8.81640625" style="140"/>
    <col min="746" max="746" width="32.81640625" style="140" customWidth="1"/>
    <col min="747" max="747" width="10.81640625" style="140" customWidth="1"/>
    <col min="748" max="748" width="15.81640625" style="140" customWidth="1"/>
    <col min="749" max="749" width="9" style="140" customWidth="1"/>
    <col min="750" max="750" width="10.1796875" style="140" customWidth="1"/>
    <col min="751" max="1001" width="8.81640625" style="140"/>
    <col min="1002" max="1002" width="32.81640625" style="140" customWidth="1"/>
    <col min="1003" max="1003" width="10.81640625" style="140" customWidth="1"/>
    <col min="1004" max="1004" width="15.81640625" style="140" customWidth="1"/>
    <col min="1005" max="1005" width="9" style="140" customWidth="1"/>
    <col min="1006" max="1006" width="10.1796875" style="140" customWidth="1"/>
    <col min="1007" max="1257" width="8.81640625" style="140"/>
    <col min="1258" max="1258" width="32.81640625" style="140" customWidth="1"/>
    <col min="1259" max="1259" width="10.81640625" style="140" customWidth="1"/>
    <col min="1260" max="1260" width="15.81640625" style="140" customWidth="1"/>
    <col min="1261" max="1261" width="9" style="140" customWidth="1"/>
    <col min="1262" max="1262" width="10.1796875" style="140" customWidth="1"/>
    <col min="1263" max="1513" width="8.81640625" style="140"/>
    <col min="1514" max="1514" width="32.81640625" style="140" customWidth="1"/>
    <col min="1515" max="1515" width="10.81640625" style="140" customWidth="1"/>
    <col min="1516" max="1516" width="15.81640625" style="140" customWidth="1"/>
    <col min="1517" max="1517" width="9" style="140" customWidth="1"/>
    <col min="1518" max="1518" width="10.1796875" style="140" customWidth="1"/>
    <col min="1519" max="1769" width="8.81640625" style="140"/>
    <col min="1770" max="1770" width="32.81640625" style="140" customWidth="1"/>
    <col min="1771" max="1771" width="10.81640625" style="140" customWidth="1"/>
    <col min="1772" max="1772" width="15.81640625" style="140" customWidth="1"/>
    <col min="1773" max="1773" width="9" style="140" customWidth="1"/>
    <col min="1774" max="1774" width="10.1796875" style="140" customWidth="1"/>
    <col min="1775" max="2025" width="8.81640625" style="140"/>
    <col min="2026" max="2026" width="32.81640625" style="140" customWidth="1"/>
    <col min="2027" max="2027" width="10.81640625" style="140" customWidth="1"/>
    <col min="2028" max="2028" width="15.81640625" style="140" customWidth="1"/>
    <col min="2029" max="2029" width="9" style="140" customWidth="1"/>
    <col min="2030" max="2030" width="10.1796875" style="140" customWidth="1"/>
    <col min="2031" max="2281" width="8.81640625" style="140"/>
    <col min="2282" max="2282" width="32.81640625" style="140" customWidth="1"/>
    <col min="2283" max="2283" width="10.81640625" style="140" customWidth="1"/>
    <col min="2284" max="2284" width="15.81640625" style="140" customWidth="1"/>
    <col min="2285" max="2285" width="9" style="140" customWidth="1"/>
    <col min="2286" max="2286" width="10.1796875" style="140" customWidth="1"/>
    <col min="2287" max="2537" width="8.81640625" style="140"/>
    <col min="2538" max="2538" width="32.81640625" style="140" customWidth="1"/>
    <col min="2539" max="2539" width="10.81640625" style="140" customWidth="1"/>
    <col min="2540" max="2540" width="15.81640625" style="140" customWidth="1"/>
    <col min="2541" max="2541" width="9" style="140" customWidth="1"/>
    <col min="2542" max="2542" width="10.1796875" style="140" customWidth="1"/>
    <col min="2543" max="2793" width="8.81640625" style="140"/>
    <col min="2794" max="2794" width="32.81640625" style="140" customWidth="1"/>
    <col min="2795" max="2795" width="10.81640625" style="140" customWidth="1"/>
    <col min="2796" max="2796" width="15.81640625" style="140" customWidth="1"/>
    <col min="2797" max="2797" width="9" style="140" customWidth="1"/>
    <col min="2798" max="2798" width="10.1796875" style="140" customWidth="1"/>
    <col min="2799" max="3049" width="8.81640625" style="140"/>
    <col min="3050" max="3050" width="32.81640625" style="140" customWidth="1"/>
    <col min="3051" max="3051" width="10.81640625" style="140" customWidth="1"/>
    <col min="3052" max="3052" width="15.81640625" style="140" customWidth="1"/>
    <col min="3053" max="3053" width="9" style="140" customWidth="1"/>
    <col min="3054" max="3054" width="10.1796875" style="140" customWidth="1"/>
    <col min="3055" max="3305" width="8.81640625" style="140"/>
    <col min="3306" max="3306" width="32.81640625" style="140" customWidth="1"/>
    <col min="3307" max="3307" width="10.81640625" style="140" customWidth="1"/>
    <col min="3308" max="3308" width="15.81640625" style="140" customWidth="1"/>
    <col min="3309" max="3309" width="9" style="140" customWidth="1"/>
    <col min="3310" max="3310" width="10.1796875" style="140" customWidth="1"/>
    <col min="3311" max="3561" width="8.81640625" style="140"/>
    <col min="3562" max="3562" width="32.81640625" style="140" customWidth="1"/>
    <col min="3563" max="3563" width="10.81640625" style="140" customWidth="1"/>
    <col min="3564" max="3564" width="15.81640625" style="140" customWidth="1"/>
    <col min="3565" max="3565" width="9" style="140" customWidth="1"/>
    <col min="3566" max="3566" width="10.1796875" style="140" customWidth="1"/>
    <col min="3567" max="3817" width="8.81640625" style="140"/>
    <col min="3818" max="3818" width="32.81640625" style="140" customWidth="1"/>
    <col min="3819" max="3819" width="10.81640625" style="140" customWidth="1"/>
    <col min="3820" max="3820" width="15.81640625" style="140" customWidth="1"/>
    <col min="3821" max="3821" width="9" style="140" customWidth="1"/>
    <col min="3822" max="3822" width="10.1796875" style="140" customWidth="1"/>
    <col min="3823" max="4073" width="8.81640625" style="140"/>
    <col min="4074" max="4074" width="32.81640625" style="140" customWidth="1"/>
    <col min="4075" max="4075" width="10.81640625" style="140" customWidth="1"/>
    <col min="4076" max="4076" width="15.81640625" style="140" customWidth="1"/>
    <col min="4077" max="4077" width="9" style="140" customWidth="1"/>
    <col min="4078" max="4078" width="10.1796875" style="140" customWidth="1"/>
    <col min="4079" max="4329" width="8.81640625" style="140"/>
    <col min="4330" max="4330" width="32.81640625" style="140" customWidth="1"/>
    <col min="4331" max="4331" width="10.81640625" style="140" customWidth="1"/>
    <col min="4332" max="4332" width="15.81640625" style="140" customWidth="1"/>
    <col min="4333" max="4333" width="9" style="140" customWidth="1"/>
    <col min="4334" max="4334" width="10.1796875" style="140" customWidth="1"/>
    <col min="4335" max="4585" width="8.81640625" style="140"/>
    <col min="4586" max="4586" width="32.81640625" style="140" customWidth="1"/>
    <col min="4587" max="4587" width="10.81640625" style="140" customWidth="1"/>
    <col min="4588" max="4588" width="15.81640625" style="140" customWidth="1"/>
    <col min="4589" max="4589" width="9" style="140" customWidth="1"/>
    <col min="4590" max="4590" width="10.1796875" style="140" customWidth="1"/>
    <col min="4591" max="4841" width="8.81640625" style="140"/>
    <col min="4842" max="4842" width="32.81640625" style="140" customWidth="1"/>
    <col min="4843" max="4843" width="10.81640625" style="140" customWidth="1"/>
    <col min="4844" max="4844" width="15.81640625" style="140" customWidth="1"/>
    <col min="4845" max="4845" width="9" style="140" customWidth="1"/>
    <col min="4846" max="4846" width="10.1796875" style="140" customWidth="1"/>
    <col min="4847" max="5097" width="8.81640625" style="140"/>
    <col min="5098" max="5098" width="32.81640625" style="140" customWidth="1"/>
    <col min="5099" max="5099" width="10.81640625" style="140" customWidth="1"/>
    <col min="5100" max="5100" width="15.81640625" style="140" customWidth="1"/>
    <col min="5101" max="5101" width="9" style="140" customWidth="1"/>
    <col min="5102" max="5102" width="10.1796875" style="140" customWidth="1"/>
    <col min="5103" max="5353" width="8.81640625" style="140"/>
    <col min="5354" max="5354" width="32.81640625" style="140" customWidth="1"/>
    <col min="5355" max="5355" width="10.81640625" style="140" customWidth="1"/>
    <col min="5356" max="5356" width="15.81640625" style="140" customWidth="1"/>
    <col min="5357" max="5357" width="9" style="140" customWidth="1"/>
    <col min="5358" max="5358" width="10.1796875" style="140" customWidth="1"/>
    <col min="5359" max="5609" width="8.81640625" style="140"/>
    <col min="5610" max="5610" width="32.81640625" style="140" customWidth="1"/>
    <col min="5611" max="5611" width="10.81640625" style="140" customWidth="1"/>
    <col min="5612" max="5612" width="15.81640625" style="140" customWidth="1"/>
    <col min="5613" max="5613" width="9" style="140" customWidth="1"/>
    <col min="5614" max="5614" width="10.1796875" style="140" customWidth="1"/>
    <col min="5615" max="5865" width="8.81640625" style="140"/>
    <col min="5866" max="5866" width="32.81640625" style="140" customWidth="1"/>
    <col min="5867" max="5867" width="10.81640625" style="140" customWidth="1"/>
    <col min="5868" max="5868" width="15.81640625" style="140" customWidth="1"/>
    <col min="5869" max="5869" width="9" style="140" customWidth="1"/>
    <col min="5870" max="5870" width="10.1796875" style="140" customWidth="1"/>
    <col min="5871" max="6121" width="8.81640625" style="140"/>
    <col min="6122" max="6122" width="32.81640625" style="140" customWidth="1"/>
    <col min="6123" max="6123" width="10.81640625" style="140" customWidth="1"/>
    <col min="6124" max="6124" width="15.81640625" style="140" customWidth="1"/>
    <col min="6125" max="6125" width="9" style="140" customWidth="1"/>
    <col min="6126" max="6126" width="10.1796875" style="140" customWidth="1"/>
    <col min="6127" max="6377" width="8.81640625" style="140"/>
    <col min="6378" max="6378" width="32.81640625" style="140" customWidth="1"/>
    <col min="6379" max="6379" width="10.81640625" style="140" customWidth="1"/>
    <col min="6380" max="6380" width="15.81640625" style="140" customWidth="1"/>
    <col min="6381" max="6381" width="9" style="140" customWidth="1"/>
    <col min="6382" max="6382" width="10.1796875" style="140" customWidth="1"/>
    <col min="6383" max="6633" width="8.81640625" style="140"/>
    <col min="6634" max="6634" width="32.81640625" style="140" customWidth="1"/>
    <col min="6635" max="6635" width="10.81640625" style="140" customWidth="1"/>
    <col min="6636" max="6636" width="15.81640625" style="140" customWidth="1"/>
    <col min="6637" max="6637" width="9" style="140" customWidth="1"/>
    <col min="6638" max="6638" width="10.1796875" style="140" customWidth="1"/>
    <col min="6639" max="6889" width="8.81640625" style="140"/>
    <col min="6890" max="6890" width="32.81640625" style="140" customWidth="1"/>
    <col min="6891" max="6891" width="10.81640625" style="140" customWidth="1"/>
    <col min="6892" max="6892" width="15.81640625" style="140" customWidth="1"/>
    <col min="6893" max="6893" width="9" style="140" customWidth="1"/>
    <col min="6894" max="6894" width="10.1796875" style="140" customWidth="1"/>
    <col min="6895" max="7145" width="8.81640625" style="140"/>
    <col min="7146" max="7146" width="32.81640625" style="140" customWidth="1"/>
    <col min="7147" max="7147" width="10.81640625" style="140" customWidth="1"/>
    <col min="7148" max="7148" width="15.81640625" style="140" customWidth="1"/>
    <col min="7149" max="7149" width="9" style="140" customWidth="1"/>
    <col min="7150" max="7150" width="10.1796875" style="140" customWidth="1"/>
    <col min="7151" max="7401" width="8.81640625" style="140"/>
    <col min="7402" max="7402" width="32.81640625" style="140" customWidth="1"/>
    <col min="7403" max="7403" width="10.81640625" style="140" customWidth="1"/>
    <col min="7404" max="7404" width="15.81640625" style="140" customWidth="1"/>
    <col min="7405" max="7405" width="9" style="140" customWidth="1"/>
    <col min="7406" max="7406" width="10.1796875" style="140" customWidth="1"/>
    <col min="7407" max="7657" width="8.81640625" style="140"/>
    <col min="7658" max="7658" width="32.81640625" style="140" customWidth="1"/>
    <col min="7659" max="7659" width="10.81640625" style="140" customWidth="1"/>
    <col min="7660" max="7660" width="15.81640625" style="140" customWidth="1"/>
    <col min="7661" max="7661" width="9" style="140" customWidth="1"/>
    <col min="7662" max="7662" width="10.1796875" style="140" customWidth="1"/>
    <col min="7663" max="7913" width="8.81640625" style="140"/>
    <col min="7914" max="7914" width="32.81640625" style="140" customWidth="1"/>
    <col min="7915" max="7915" width="10.81640625" style="140" customWidth="1"/>
    <col min="7916" max="7916" width="15.81640625" style="140" customWidth="1"/>
    <col min="7917" max="7917" width="9" style="140" customWidth="1"/>
    <col min="7918" max="7918" width="10.1796875" style="140" customWidth="1"/>
    <col min="7919" max="8169" width="8.81640625" style="140"/>
    <col min="8170" max="8170" width="32.81640625" style="140" customWidth="1"/>
    <col min="8171" max="8171" width="10.81640625" style="140" customWidth="1"/>
    <col min="8172" max="8172" width="15.81640625" style="140" customWidth="1"/>
    <col min="8173" max="8173" width="9" style="140" customWidth="1"/>
    <col min="8174" max="8174" width="10.1796875" style="140" customWidth="1"/>
    <col min="8175" max="8425" width="8.81640625" style="140"/>
    <col min="8426" max="8426" width="32.81640625" style="140" customWidth="1"/>
    <col min="8427" max="8427" width="10.81640625" style="140" customWidth="1"/>
    <col min="8428" max="8428" width="15.81640625" style="140" customWidth="1"/>
    <col min="8429" max="8429" width="9" style="140" customWidth="1"/>
    <col min="8430" max="8430" width="10.1796875" style="140" customWidth="1"/>
    <col min="8431" max="8681" width="8.81640625" style="140"/>
    <col min="8682" max="8682" width="32.81640625" style="140" customWidth="1"/>
    <col min="8683" max="8683" width="10.81640625" style="140" customWidth="1"/>
    <col min="8684" max="8684" width="15.81640625" style="140" customWidth="1"/>
    <col min="8685" max="8685" width="9" style="140" customWidth="1"/>
    <col min="8686" max="8686" width="10.1796875" style="140" customWidth="1"/>
    <col min="8687" max="8937" width="8.81640625" style="140"/>
    <col min="8938" max="8938" width="32.81640625" style="140" customWidth="1"/>
    <col min="8939" max="8939" width="10.81640625" style="140" customWidth="1"/>
    <col min="8940" max="8940" width="15.81640625" style="140" customWidth="1"/>
    <col min="8941" max="8941" width="9" style="140" customWidth="1"/>
    <col min="8942" max="8942" width="10.1796875" style="140" customWidth="1"/>
    <col min="8943" max="9193" width="8.81640625" style="140"/>
    <col min="9194" max="9194" width="32.81640625" style="140" customWidth="1"/>
    <col min="9195" max="9195" width="10.81640625" style="140" customWidth="1"/>
    <col min="9196" max="9196" width="15.81640625" style="140" customWidth="1"/>
    <col min="9197" max="9197" width="9" style="140" customWidth="1"/>
    <col min="9198" max="9198" width="10.1796875" style="140" customWidth="1"/>
    <col min="9199" max="9449" width="8.81640625" style="140"/>
    <col min="9450" max="9450" width="32.81640625" style="140" customWidth="1"/>
    <col min="9451" max="9451" width="10.81640625" style="140" customWidth="1"/>
    <col min="9452" max="9452" width="15.81640625" style="140" customWidth="1"/>
    <col min="9453" max="9453" width="9" style="140" customWidth="1"/>
    <col min="9454" max="9454" width="10.1796875" style="140" customWidth="1"/>
    <col min="9455" max="9705" width="8.81640625" style="140"/>
    <col min="9706" max="9706" width="32.81640625" style="140" customWidth="1"/>
    <col min="9707" max="9707" width="10.81640625" style="140" customWidth="1"/>
    <col min="9708" max="9708" width="15.81640625" style="140" customWidth="1"/>
    <col min="9709" max="9709" width="9" style="140" customWidth="1"/>
    <col min="9710" max="9710" width="10.1796875" style="140" customWidth="1"/>
    <col min="9711" max="9961" width="8.81640625" style="140"/>
    <col min="9962" max="9962" width="32.81640625" style="140" customWidth="1"/>
    <col min="9963" max="9963" width="10.81640625" style="140" customWidth="1"/>
    <col min="9964" max="9964" width="15.81640625" style="140" customWidth="1"/>
    <col min="9965" max="9965" width="9" style="140" customWidth="1"/>
    <col min="9966" max="9966" width="10.1796875" style="140" customWidth="1"/>
    <col min="9967" max="10217" width="8.81640625" style="140"/>
    <col min="10218" max="10218" width="32.81640625" style="140" customWidth="1"/>
    <col min="10219" max="10219" width="10.81640625" style="140" customWidth="1"/>
    <col min="10220" max="10220" width="15.81640625" style="140" customWidth="1"/>
    <col min="10221" max="10221" width="9" style="140" customWidth="1"/>
    <col min="10222" max="10222" width="10.1796875" style="140" customWidth="1"/>
    <col min="10223" max="10473" width="8.81640625" style="140"/>
    <col min="10474" max="10474" width="32.81640625" style="140" customWidth="1"/>
    <col min="10475" max="10475" width="10.81640625" style="140" customWidth="1"/>
    <col min="10476" max="10476" width="15.81640625" style="140" customWidth="1"/>
    <col min="10477" max="10477" width="9" style="140" customWidth="1"/>
    <col min="10478" max="10478" width="10.1796875" style="140" customWidth="1"/>
    <col min="10479" max="10729" width="8.81640625" style="140"/>
    <col min="10730" max="10730" width="32.81640625" style="140" customWidth="1"/>
    <col min="10731" max="10731" width="10.81640625" style="140" customWidth="1"/>
    <col min="10732" max="10732" width="15.81640625" style="140" customWidth="1"/>
    <col min="10733" max="10733" width="9" style="140" customWidth="1"/>
    <col min="10734" max="10734" width="10.1796875" style="140" customWidth="1"/>
    <col min="10735" max="10985" width="8.81640625" style="140"/>
    <col min="10986" max="10986" width="32.81640625" style="140" customWidth="1"/>
    <col min="10987" max="10987" width="10.81640625" style="140" customWidth="1"/>
    <col min="10988" max="10988" width="15.81640625" style="140" customWidth="1"/>
    <col min="10989" max="10989" width="9" style="140" customWidth="1"/>
    <col min="10990" max="10990" width="10.1796875" style="140" customWidth="1"/>
    <col min="10991" max="11241" width="8.81640625" style="140"/>
    <col min="11242" max="11242" width="32.81640625" style="140" customWidth="1"/>
    <col min="11243" max="11243" width="10.81640625" style="140" customWidth="1"/>
    <col min="11244" max="11244" width="15.81640625" style="140" customWidth="1"/>
    <col min="11245" max="11245" width="9" style="140" customWidth="1"/>
    <col min="11246" max="11246" width="10.1796875" style="140" customWidth="1"/>
    <col min="11247" max="11497" width="8.81640625" style="140"/>
    <col min="11498" max="11498" width="32.81640625" style="140" customWidth="1"/>
    <col min="11499" max="11499" width="10.81640625" style="140" customWidth="1"/>
    <col min="11500" max="11500" width="15.81640625" style="140" customWidth="1"/>
    <col min="11501" max="11501" width="9" style="140" customWidth="1"/>
    <col min="11502" max="11502" width="10.1796875" style="140" customWidth="1"/>
    <col min="11503" max="11753" width="8.81640625" style="140"/>
    <col min="11754" max="11754" width="32.81640625" style="140" customWidth="1"/>
    <col min="11755" max="11755" width="10.81640625" style="140" customWidth="1"/>
    <col min="11756" max="11756" width="15.81640625" style="140" customWidth="1"/>
    <col min="11757" max="11757" width="9" style="140" customWidth="1"/>
    <col min="11758" max="11758" width="10.1796875" style="140" customWidth="1"/>
    <col min="11759" max="12009" width="8.81640625" style="140"/>
    <col min="12010" max="12010" width="32.81640625" style="140" customWidth="1"/>
    <col min="12011" max="12011" width="10.81640625" style="140" customWidth="1"/>
    <col min="12012" max="12012" width="15.81640625" style="140" customWidth="1"/>
    <col min="12013" max="12013" width="9" style="140" customWidth="1"/>
    <col min="12014" max="12014" width="10.1796875" style="140" customWidth="1"/>
    <col min="12015" max="12265" width="8.81640625" style="140"/>
    <col min="12266" max="12266" width="32.81640625" style="140" customWidth="1"/>
    <col min="12267" max="12267" width="10.81640625" style="140" customWidth="1"/>
    <col min="12268" max="12268" width="15.81640625" style="140" customWidth="1"/>
    <col min="12269" max="12269" width="9" style="140" customWidth="1"/>
    <col min="12270" max="12270" width="10.1796875" style="140" customWidth="1"/>
    <col min="12271" max="12521" width="8.81640625" style="140"/>
    <col min="12522" max="12522" width="32.81640625" style="140" customWidth="1"/>
    <col min="12523" max="12523" width="10.81640625" style="140" customWidth="1"/>
    <col min="12524" max="12524" width="15.81640625" style="140" customWidth="1"/>
    <col min="12525" max="12525" width="9" style="140" customWidth="1"/>
    <col min="12526" max="12526" width="10.1796875" style="140" customWidth="1"/>
    <col min="12527" max="12777" width="8.81640625" style="140"/>
    <col min="12778" max="12778" width="32.81640625" style="140" customWidth="1"/>
    <col min="12779" max="12779" width="10.81640625" style="140" customWidth="1"/>
    <col min="12780" max="12780" width="15.81640625" style="140" customWidth="1"/>
    <col min="12781" max="12781" width="9" style="140" customWidth="1"/>
    <col min="12782" max="12782" width="10.1796875" style="140" customWidth="1"/>
    <col min="12783" max="13033" width="8.81640625" style="140"/>
    <col min="13034" max="13034" width="32.81640625" style="140" customWidth="1"/>
    <col min="13035" max="13035" width="10.81640625" style="140" customWidth="1"/>
    <col min="13036" max="13036" width="15.81640625" style="140" customWidth="1"/>
    <col min="13037" max="13037" width="9" style="140" customWidth="1"/>
    <col min="13038" max="13038" width="10.1796875" style="140" customWidth="1"/>
    <col min="13039" max="13289" width="8.81640625" style="140"/>
    <col min="13290" max="13290" width="32.81640625" style="140" customWidth="1"/>
    <col min="13291" max="13291" width="10.81640625" style="140" customWidth="1"/>
    <col min="13292" max="13292" width="15.81640625" style="140" customWidth="1"/>
    <col min="13293" max="13293" width="9" style="140" customWidth="1"/>
    <col min="13294" max="13294" width="10.1796875" style="140" customWidth="1"/>
    <col min="13295" max="13545" width="8.81640625" style="140"/>
    <col min="13546" max="13546" width="32.81640625" style="140" customWidth="1"/>
    <col min="13547" max="13547" width="10.81640625" style="140" customWidth="1"/>
    <col min="13548" max="13548" width="15.81640625" style="140" customWidth="1"/>
    <col min="13549" max="13549" width="9" style="140" customWidth="1"/>
    <col min="13550" max="13550" width="10.1796875" style="140" customWidth="1"/>
    <col min="13551" max="13801" width="8.81640625" style="140"/>
    <col min="13802" max="13802" width="32.81640625" style="140" customWidth="1"/>
    <col min="13803" max="13803" width="10.81640625" style="140" customWidth="1"/>
    <col min="13804" max="13804" width="15.81640625" style="140" customWidth="1"/>
    <col min="13805" max="13805" width="9" style="140" customWidth="1"/>
    <col min="13806" max="13806" width="10.1796875" style="140" customWidth="1"/>
    <col min="13807" max="14057" width="8.81640625" style="140"/>
    <col min="14058" max="14058" width="32.81640625" style="140" customWidth="1"/>
    <col min="14059" max="14059" width="10.81640625" style="140" customWidth="1"/>
    <col min="14060" max="14060" width="15.81640625" style="140" customWidth="1"/>
    <col min="14061" max="14061" width="9" style="140" customWidth="1"/>
    <col min="14062" max="14062" width="10.1796875" style="140" customWidth="1"/>
    <col min="14063" max="14313" width="8.81640625" style="140"/>
    <col min="14314" max="14314" width="32.81640625" style="140" customWidth="1"/>
    <col min="14315" max="14315" width="10.81640625" style="140" customWidth="1"/>
    <col min="14316" max="14316" width="15.81640625" style="140" customWidth="1"/>
    <col min="14317" max="14317" width="9" style="140" customWidth="1"/>
    <col min="14318" max="14318" width="10.1796875" style="140" customWidth="1"/>
    <col min="14319" max="14569" width="8.81640625" style="140"/>
    <col min="14570" max="14570" width="32.81640625" style="140" customWidth="1"/>
    <col min="14571" max="14571" width="10.81640625" style="140" customWidth="1"/>
    <col min="14572" max="14572" width="15.81640625" style="140" customWidth="1"/>
    <col min="14573" max="14573" width="9" style="140" customWidth="1"/>
    <col min="14574" max="14574" width="10.1796875" style="140" customWidth="1"/>
    <col min="14575" max="14825" width="8.81640625" style="140"/>
    <col min="14826" max="14826" width="32.81640625" style="140" customWidth="1"/>
    <col min="14827" max="14827" width="10.81640625" style="140" customWidth="1"/>
    <col min="14828" max="14828" width="15.81640625" style="140" customWidth="1"/>
    <col min="14829" max="14829" width="9" style="140" customWidth="1"/>
    <col min="14830" max="14830" width="10.1796875" style="140" customWidth="1"/>
    <col min="14831" max="15081" width="8.81640625" style="140"/>
    <col min="15082" max="15082" width="32.81640625" style="140" customWidth="1"/>
    <col min="15083" max="15083" width="10.81640625" style="140" customWidth="1"/>
    <col min="15084" max="15084" width="15.81640625" style="140" customWidth="1"/>
    <col min="15085" max="15085" width="9" style="140" customWidth="1"/>
    <col min="15086" max="15086" width="10.1796875" style="140" customWidth="1"/>
    <col min="15087" max="15337" width="8.81640625" style="140"/>
    <col min="15338" max="15338" width="32.81640625" style="140" customWidth="1"/>
    <col min="15339" max="15339" width="10.81640625" style="140" customWidth="1"/>
    <col min="15340" max="15340" width="15.81640625" style="140" customWidth="1"/>
    <col min="15341" max="15341" width="9" style="140" customWidth="1"/>
    <col min="15342" max="15342" width="10.1796875" style="140" customWidth="1"/>
    <col min="15343" max="15593" width="8.81640625" style="140"/>
    <col min="15594" max="15594" width="32.81640625" style="140" customWidth="1"/>
    <col min="15595" max="15595" width="10.81640625" style="140" customWidth="1"/>
    <col min="15596" max="15596" width="15.81640625" style="140" customWidth="1"/>
    <col min="15597" max="15597" width="9" style="140" customWidth="1"/>
    <col min="15598" max="15598" width="10.1796875" style="140" customWidth="1"/>
    <col min="15599" max="15849" width="8.81640625" style="140"/>
    <col min="15850" max="15850" width="32.81640625" style="140" customWidth="1"/>
    <col min="15851" max="15851" width="10.81640625" style="140" customWidth="1"/>
    <col min="15852" max="15852" width="15.81640625" style="140" customWidth="1"/>
    <col min="15853" max="15853" width="9" style="140" customWidth="1"/>
    <col min="15854" max="15854" width="10.1796875" style="140" customWidth="1"/>
    <col min="15855" max="16105" width="8.81640625" style="140"/>
    <col min="16106" max="16106" width="32.81640625" style="140" customWidth="1"/>
    <col min="16107" max="16107" width="10.81640625" style="140" customWidth="1"/>
    <col min="16108" max="16108" width="15.81640625" style="140" customWidth="1"/>
    <col min="16109" max="16109" width="9" style="140" customWidth="1"/>
    <col min="16110" max="16110" width="10.1796875" style="140" customWidth="1"/>
    <col min="16111" max="16384" width="8.81640625" style="140"/>
  </cols>
  <sheetData>
    <row r="1" spans="1:21" ht="12" customHeight="1"/>
    <row r="2" spans="1:21" ht="12" customHeight="1"/>
    <row r="3" spans="1:21" ht="12" customHeight="1"/>
    <row r="4" spans="1:21" ht="12" customHeight="1">
      <c r="A4" s="141" t="s">
        <v>49</v>
      </c>
      <c r="B4" s="142"/>
      <c r="C4" s="142"/>
      <c r="D4" s="142"/>
      <c r="E4" s="142"/>
      <c r="F4" s="142"/>
      <c r="G4" s="142"/>
      <c r="H4" s="142"/>
    </row>
    <row r="5" spans="1:21" ht="24" customHeight="1">
      <c r="A5" s="757" t="s">
        <v>550</v>
      </c>
      <c r="B5" s="757"/>
      <c r="C5" s="757"/>
      <c r="D5" s="757"/>
      <c r="E5" s="757"/>
      <c r="F5" s="757"/>
      <c r="G5" s="757"/>
      <c r="H5" s="757"/>
      <c r="I5" s="757"/>
      <c r="J5" s="757"/>
    </row>
    <row r="6" spans="1:21" ht="12" customHeight="1">
      <c r="A6" s="143" t="s">
        <v>551</v>
      </c>
      <c r="B6" s="144"/>
      <c r="C6" s="144"/>
      <c r="D6" s="144"/>
      <c r="E6" s="144"/>
      <c r="F6" s="144"/>
      <c r="G6" s="144"/>
      <c r="H6" s="144"/>
    </row>
    <row r="7" spans="1:21" ht="6" customHeight="1">
      <c r="B7" s="145"/>
      <c r="C7" s="145"/>
      <c r="D7" s="145"/>
      <c r="E7" s="145"/>
      <c r="F7" s="145"/>
      <c r="G7" s="145"/>
      <c r="H7" s="145"/>
      <c r="I7" s="456"/>
    </row>
    <row r="8" spans="1:21" ht="12" customHeight="1">
      <c r="A8" s="758" t="s">
        <v>219</v>
      </c>
      <c r="B8" s="760" t="s">
        <v>552</v>
      </c>
      <c r="C8" s="760"/>
      <c r="D8" s="593"/>
      <c r="E8" s="766" t="s">
        <v>553</v>
      </c>
      <c r="F8" s="596"/>
      <c r="G8" s="760" t="s">
        <v>554</v>
      </c>
      <c r="H8" s="760"/>
      <c r="J8" s="766" t="s">
        <v>555</v>
      </c>
      <c r="L8"/>
      <c r="M8"/>
      <c r="N8"/>
      <c r="O8"/>
      <c r="P8"/>
      <c r="Q8"/>
      <c r="R8"/>
      <c r="S8"/>
      <c r="T8"/>
    </row>
    <row r="9" spans="1:21" ht="12" customHeight="1">
      <c r="A9" s="652"/>
      <c r="B9" s="762" t="s">
        <v>58</v>
      </c>
      <c r="C9" s="764" t="s">
        <v>556</v>
      </c>
      <c r="D9" s="444"/>
      <c r="E9" s="770"/>
      <c r="F9" s="458"/>
      <c r="G9" s="594" t="s">
        <v>557</v>
      </c>
      <c r="H9" s="152" t="s">
        <v>273</v>
      </c>
      <c r="J9" s="770"/>
      <c r="L9"/>
      <c r="M9"/>
      <c r="N9"/>
      <c r="O9"/>
      <c r="P9"/>
      <c r="Q9"/>
      <c r="R9"/>
      <c r="S9"/>
      <c r="T9"/>
    </row>
    <row r="10" spans="1:21" ht="30" customHeight="1">
      <c r="A10" s="759"/>
      <c r="B10" s="763"/>
      <c r="C10" s="765"/>
      <c r="D10" s="442"/>
      <c r="E10" s="767"/>
      <c r="F10" s="441"/>
      <c r="G10" s="441"/>
      <c r="H10" s="442" t="s">
        <v>558</v>
      </c>
      <c r="I10" s="456"/>
      <c r="J10" s="767"/>
      <c r="L10"/>
      <c r="M10"/>
      <c r="N10"/>
      <c r="O10"/>
      <c r="P10"/>
      <c r="Q10"/>
      <c r="R10"/>
      <c r="S10"/>
      <c r="T10"/>
    </row>
    <row r="11" spans="1:21" ht="3" customHeight="1">
      <c r="A11" s="146"/>
      <c r="L11"/>
      <c r="M11"/>
      <c r="N11"/>
      <c r="O11"/>
      <c r="P11"/>
      <c r="Q11"/>
      <c r="R11"/>
      <c r="S11"/>
      <c r="T11"/>
    </row>
    <row r="12" spans="1:21" ht="9.75" customHeight="1">
      <c r="A12" s="121">
        <v>2019</v>
      </c>
      <c r="B12" s="3">
        <v>257</v>
      </c>
      <c r="C12" s="153">
        <v>8.3881569016172011E-2</v>
      </c>
      <c r="D12" s="3"/>
      <c r="E12" s="1">
        <v>9.35</v>
      </c>
      <c r="F12" s="3"/>
      <c r="G12" s="3">
        <v>2193</v>
      </c>
      <c r="H12" s="3">
        <v>1763</v>
      </c>
      <c r="J12" s="3">
        <v>127</v>
      </c>
      <c r="L12"/>
      <c r="M12"/>
      <c r="N12"/>
      <c r="O12"/>
      <c r="P12"/>
      <c r="Q12"/>
      <c r="R12"/>
      <c r="S12"/>
      <c r="T12"/>
    </row>
    <row r="13" spans="1:21" ht="10" customHeight="1">
      <c r="A13" s="121">
        <v>2020</v>
      </c>
      <c r="B13" s="3">
        <v>242</v>
      </c>
      <c r="C13" s="153">
        <v>7.9394529444617709E-2</v>
      </c>
      <c r="D13" s="3"/>
      <c r="E13" s="1">
        <v>8.7899999999999991</v>
      </c>
      <c r="F13" s="3"/>
      <c r="G13" s="3">
        <v>1772</v>
      </c>
      <c r="H13" s="3">
        <v>1254</v>
      </c>
      <c r="J13" s="3">
        <v>137</v>
      </c>
      <c r="L13"/>
      <c r="M13"/>
      <c r="N13"/>
      <c r="O13"/>
      <c r="P13"/>
      <c r="Q13"/>
      <c r="R13"/>
      <c r="S13"/>
      <c r="T13"/>
      <c r="U13" s="151"/>
    </row>
    <row r="14" spans="1:21" ht="10" customHeight="1">
      <c r="A14" s="121">
        <v>2021</v>
      </c>
      <c r="B14" s="3">
        <v>337</v>
      </c>
      <c r="C14" s="153">
        <v>0.11125570317533022</v>
      </c>
      <c r="D14" s="3"/>
      <c r="E14" s="1">
        <v>8.68</v>
      </c>
      <c r="F14" s="3"/>
      <c r="G14" s="3">
        <v>2423</v>
      </c>
      <c r="H14" s="3">
        <v>1869</v>
      </c>
      <c r="J14" s="3">
        <v>142</v>
      </c>
      <c r="L14"/>
      <c r="M14"/>
      <c r="N14"/>
      <c r="O14"/>
      <c r="P14"/>
      <c r="Q14"/>
      <c r="R14"/>
      <c r="S14"/>
      <c r="T14"/>
    </row>
    <row r="15" spans="1:21" ht="10" customHeight="1">
      <c r="A15" s="121">
        <v>2022</v>
      </c>
      <c r="B15" s="3">
        <v>374</v>
      </c>
      <c r="C15" s="153">
        <v>0.12385429396710701</v>
      </c>
      <c r="D15" s="3"/>
      <c r="E15" s="1">
        <v>8.4499999999999993</v>
      </c>
      <c r="F15" s="3"/>
      <c r="G15" s="3">
        <v>2698</v>
      </c>
      <c r="H15" s="3">
        <v>2087</v>
      </c>
      <c r="J15" s="3">
        <v>138</v>
      </c>
      <c r="L15"/>
      <c r="M15"/>
      <c r="N15"/>
      <c r="O15"/>
      <c r="P15"/>
      <c r="Q15"/>
      <c r="R15"/>
      <c r="S15"/>
      <c r="T15"/>
    </row>
    <row r="16" spans="1:21" ht="3" customHeight="1">
      <c r="A16" s="121"/>
      <c r="B16" s="3"/>
      <c r="C16" s="3"/>
      <c r="D16" s="3"/>
      <c r="E16" s="3"/>
      <c r="F16" s="3"/>
      <c r="G16" s="3"/>
      <c r="H16" s="3"/>
      <c r="J16" s="151"/>
    </row>
    <row r="17" spans="1:14" ht="10" customHeight="1">
      <c r="A17" s="84"/>
      <c r="B17" s="613" t="s">
        <v>412</v>
      </c>
      <c r="C17" s="613"/>
      <c r="D17" s="613"/>
      <c r="E17" s="613"/>
      <c r="F17" s="613"/>
      <c r="G17" s="613"/>
      <c r="H17" s="613"/>
      <c r="I17" s="613"/>
      <c r="J17" s="613"/>
    </row>
    <row r="18" spans="1:14" ht="3" customHeight="1">
      <c r="A18" s="84"/>
      <c r="B18" s="443"/>
      <c r="C18" s="443"/>
      <c r="D18" s="443"/>
      <c r="E18" s="443"/>
      <c r="F18" s="443"/>
      <c r="G18" s="443"/>
      <c r="H18" s="443"/>
      <c r="I18" s="443"/>
      <c r="J18" s="443"/>
    </row>
    <row r="19" spans="1:14" ht="10" customHeight="1">
      <c r="A19" s="445" t="s">
        <v>226</v>
      </c>
      <c r="B19" s="3">
        <v>12</v>
      </c>
      <c r="C19" s="153">
        <v>5.5135644022227939E-2</v>
      </c>
      <c r="D19" s="3"/>
      <c r="E19" s="459">
        <v>9.83</v>
      </c>
      <c r="F19" s="3"/>
      <c r="G19" s="3">
        <v>112</v>
      </c>
      <c r="H19" s="3">
        <v>85</v>
      </c>
      <c r="J19" s="3">
        <v>122</v>
      </c>
      <c r="L19" s="465"/>
      <c r="N19" s="466"/>
    </row>
    <row r="20" spans="1:14" ht="10" customHeight="1">
      <c r="A20" s="154" t="s">
        <v>227</v>
      </c>
      <c r="B20" s="3">
        <v>1</v>
      </c>
      <c r="C20" s="153">
        <v>0.15956979981968611</v>
      </c>
      <c r="D20" s="3"/>
      <c r="E20" s="459">
        <v>15</v>
      </c>
      <c r="F20" s="3"/>
      <c r="G20" s="3">
        <v>26</v>
      </c>
      <c r="H20" s="3">
        <v>26</v>
      </c>
      <c r="J20" s="3">
        <v>59</v>
      </c>
      <c r="L20" s="465"/>
      <c r="N20" s="466"/>
    </row>
    <row r="21" spans="1:14" ht="10" customHeight="1">
      <c r="A21" s="445" t="s">
        <v>229</v>
      </c>
      <c r="B21" s="3">
        <v>9</v>
      </c>
      <c r="C21" s="153">
        <v>0.11530065285791885</v>
      </c>
      <c r="D21" s="3"/>
      <c r="E21" s="459">
        <v>7</v>
      </c>
      <c r="F21" s="3"/>
      <c r="G21" s="3">
        <v>81</v>
      </c>
      <c r="H21" s="3">
        <v>73</v>
      </c>
      <c r="I21"/>
      <c r="J21" s="3">
        <v>103</v>
      </c>
      <c r="L21" s="465"/>
      <c r="N21" s="466"/>
    </row>
    <row r="22" spans="1:14" ht="10" customHeight="1">
      <c r="A22" s="445" t="s">
        <v>230</v>
      </c>
      <c r="B22" s="3">
        <v>100</v>
      </c>
      <c r="C22" s="153">
        <v>0.19683024572287877</v>
      </c>
      <c r="D22" s="3"/>
      <c r="E22" s="459">
        <v>7.81</v>
      </c>
      <c r="F22" s="3"/>
      <c r="G22" s="3">
        <v>728</v>
      </c>
      <c r="H22" s="3">
        <v>531</v>
      </c>
      <c r="J22" s="3">
        <v>180</v>
      </c>
      <c r="L22" s="465"/>
      <c r="N22" s="466"/>
    </row>
    <row r="23" spans="1:14" ht="10" customHeight="1">
      <c r="A23" s="154" t="s">
        <v>231</v>
      </c>
      <c r="B23" s="3">
        <v>6</v>
      </c>
      <c r="C23" s="153">
        <v>0.10993913952467813</v>
      </c>
      <c r="D23" s="3"/>
      <c r="E23" s="459">
        <v>26.33</v>
      </c>
      <c r="F23" s="3"/>
      <c r="G23" s="3">
        <v>132</v>
      </c>
      <c r="H23" s="3">
        <v>95</v>
      </c>
      <c r="J23" s="3">
        <v>106</v>
      </c>
      <c r="N23" s="466"/>
    </row>
    <row r="24" spans="1:14" ht="10" customHeight="1">
      <c r="A24" s="155" t="s">
        <v>232</v>
      </c>
      <c r="B24" s="4">
        <v>5</v>
      </c>
      <c r="C24" s="447">
        <v>0.18508030634492309</v>
      </c>
      <c r="D24" s="4"/>
      <c r="E24" s="460">
        <v>27.2</v>
      </c>
      <c r="F24" s="4"/>
      <c r="G24" s="4">
        <v>118</v>
      </c>
      <c r="H24" s="4">
        <v>88</v>
      </c>
      <c r="I24" s="461"/>
      <c r="J24" s="4">
        <v>88</v>
      </c>
      <c r="N24" s="466"/>
    </row>
    <row r="25" spans="1:14" ht="10" customHeight="1">
      <c r="A25" s="448" t="s">
        <v>75</v>
      </c>
      <c r="B25" s="4">
        <v>1</v>
      </c>
      <c r="C25" s="447">
        <v>3.6284009455612866E-2</v>
      </c>
      <c r="D25" s="4"/>
      <c r="E25" s="460">
        <v>22</v>
      </c>
      <c r="F25" s="4"/>
      <c r="G25" s="4">
        <v>14</v>
      </c>
      <c r="H25" s="4">
        <v>7</v>
      </c>
      <c r="I25" s="461"/>
      <c r="J25" s="4">
        <v>197</v>
      </c>
      <c r="N25" s="466"/>
    </row>
    <row r="26" spans="1:14" ht="10" customHeight="1">
      <c r="A26" s="445" t="s">
        <v>233</v>
      </c>
      <c r="B26" s="3">
        <v>31</v>
      </c>
      <c r="C26" s="153">
        <v>0.12574144354827752</v>
      </c>
      <c r="D26" s="3"/>
      <c r="E26" s="459">
        <v>7.94</v>
      </c>
      <c r="F26" s="3"/>
      <c r="G26" s="3">
        <v>203</v>
      </c>
      <c r="H26" s="3">
        <v>136</v>
      </c>
      <c r="J26" s="3">
        <v>164</v>
      </c>
      <c r="N26" s="466"/>
    </row>
    <row r="27" spans="1:14" ht="10" customHeight="1">
      <c r="A27" s="445" t="s">
        <v>234</v>
      </c>
      <c r="B27" s="3">
        <v>18</v>
      </c>
      <c r="C27" s="153">
        <v>0.29456695793338367</v>
      </c>
      <c r="D27" s="3"/>
      <c r="E27" s="459">
        <v>6</v>
      </c>
      <c r="F27" s="3"/>
      <c r="G27" s="3">
        <v>129</v>
      </c>
      <c r="H27" s="3">
        <v>107</v>
      </c>
      <c r="J27" s="3">
        <v>117</v>
      </c>
      <c r="N27" s="466"/>
    </row>
    <row r="28" spans="1:14" ht="10" customHeight="1">
      <c r="A28" s="445" t="s">
        <v>235</v>
      </c>
      <c r="B28" s="3">
        <v>55</v>
      </c>
      <c r="C28" s="153">
        <v>0.24251884481660066</v>
      </c>
      <c r="D28" s="3"/>
      <c r="E28" s="459">
        <v>7</v>
      </c>
      <c r="F28" s="3"/>
      <c r="G28" s="3">
        <v>402</v>
      </c>
      <c r="H28" s="3">
        <v>310</v>
      </c>
      <c r="J28" s="3">
        <v>135</v>
      </c>
      <c r="N28" s="466"/>
    </row>
    <row r="29" spans="1:14" ht="10" customHeight="1">
      <c r="A29" s="445" t="s">
        <v>236</v>
      </c>
      <c r="B29" s="3">
        <v>28</v>
      </c>
      <c r="C29" s="153">
        <v>0.1487104546370708</v>
      </c>
      <c r="D29" s="3"/>
      <c r="E29" s="459">
        <v>6</v>
      </c>
      <c r="F29" s="3"/>
      <c r="G29" s="3">
        <v>134</v>
      </c>
      <c r="H29" s="3">
        <v>87</v>
      </c>
      <c r="J29" s="3">
        <v>187</v>
      </c>
      <c r="N29" s="466"/>
    </row>
    <row r="30" spans="1:14" ht="10" customHeight="1">
      <c r="A30" s="445" t="s">
        <v>237</v>
      </c>
      <c r="B30" s="3">
        <v>5</v>
      </c>
      <c r="C30" s="153">
        <v>0.11339359825101714</v>
      </c>
      <c r="D30" s="3"/>
      <c r="E30" s="459">
        <v>6</v>
      </c>
      <c r="F30" s="3"/>
      <c r="G30" s="3">
        <v>45</v>
      </c>
      <c r="H30" s="3">
        <v>43</v>
      </c>
      <c r="J30" s="3">
        <v>58</v>
      </c>
      <c r="N30" s="466"/>
    </row>
    <row r="31" spans="1:14" ht="10" customHeight="1">
      <c r="A31" s="445" t="s">
        <v>238</v>
      </c>
      <c r="B31" s="3">
        <v>7</v>
      </c>
      <c r="C31" s="153">
        <v>9.2334641847114943E-2</v>
      </c>
      <c r="D31" s="3"/>
      <c r="E31" s="459">
        <v>9</v>
      </c>
      <c r="F31" s="3"/>
      <c r="G31" s="3">
        <v>111</v>
      </c>
      <c r="H31" s="3">
        <v>92</v>
      </c>
      <c r="J31" s="3">
        <v>127</v>
      </c>
      <c r="N31" s="466"/>
    </row>
    <row r="32" spans="1:14" ht="10" customHeight="1">
      <c r="A32" s="445" t="s">
        <v>239</v>
      </c>
      <c r="B32" s="3">
        <v>14</v>
      </c>
      <c r="C32" s="153">
        <v>4.7509702584171497E-2</v>
      </c>
      <c r="D32" s="3"/>
      <c r="E32" s="459">
        <v>11.36</v>
      </c>
      <c r="F32" s="3"/>
      <c r="G32" s="3">
        <v>151</v>
      </c>
      <c r="H32" s="3">
        <v>108</v>
      </c>
      <c r="J32" s="3">
        <v>137</v>
      </c>
      <c r="N32" s="466"/>
    </row>
    <row r="33" spans="1:20" ht="10" customHeight="1">
      <c r="A33" s="445" t="s">
        <v>240</v>
      </c>
      <c r="B33" s="3">
        <v>6</v>
      </c>
      <c r="C33" s="153">
        <v>9.2484836340375035E-2</v>
      </c>
      <c r="D33" s="3"/>
      <c r="E33" s="459">
        <v>6.67</v>
      </c>
      <c r="F33" s="3"/>
      <c r="G33" s="3">
        <v>30</v>
      </c>
      <c r="H33" s="3">
        <v>26</v>
      </c>
      <c r="J33" s="3">
        <v>114</v>
      </c>
      <c r="N33" s="466"/>
    </row>
    <row r="34" spans="1:20" ht="10" customHeight="1">
      <c r="A34" s="445" t="s">
        <v>241</v>
      </c>
      <c r="B34" s="3">
        <v>1</v>
      </c>
      <c r="C34" s="153">
        <v>6.8258220849473555E-2</v>
      </c>
      <c r="D34" s="3"/>
      <c r="E34" s="459">
        <v>12</v>
      </c>
      <c r="F34" s="3"/>
      <c r="G34" s="3">
        <v>24</v>
      </c>
      <c r="H34" s="3">
        <v>17</v>
      </c>
      <c r="J34" s="3">
        <v>15</v>
      </c>
      <c r="N34" s="466"/>
    </row>
    <row r="35" spans="1:20" ht="10" customHeight="1">
      <c r="A35" s="445" t="s">
        <v>242</v>
      </c>
      <c r="B35" s="3">
        <v>24</v>
      </c>
      <c r="C35" s="153">
        <v>8.3758319556834729E-2</v>
      </c>
      <c r="D35" s="3"/>
      <c r="E35" s="459">
        <v>11.58</v>
      </c>
      <c r="F35" s="3"/>
      <c r="G35" s="3">
        <v>210</v>
      </c>
      <c r="H35" s="3">
        <v>171</v>
      </c>
      <c r="J35" s="3">
        <v>92</v>
      </c>
      <c r="N35" s="466"/>
    </row>
    <row r="36" spans="1:20" ht="10" customHeight="1">
      <c r="A36" s="445" t="s">
        <v>243</v>
      </c>
      <c r="B36" s="3">
        <v>16</v>
      </c>
      <c r="C36" s="153">
        <v>8.0073647737506568E-2</v>
      </c>
      <c r="D36" s="3"/>
      <c r="E36" s="459">
        <v>9.25</v>
      </c>
      <c r="F36" s="3"/>
      <c r="G36" s="3">
        <v>139</v>
      </c>
      <c r="H36" s="3">
        <v>124</v>
      </c>
      <c r="J36" s="3">
        <v>108</v>
      </c>
      <c r="N36" s="466"/>
    </row>
    <row r="37" spans="1:20" ht="10" customHeight="1">
      <c r="A37" s="445" t="s">
        <v>244</v>
      </c>
      <c r="B37" s="3">
        <v>1</v>
      </c>
      <c r="C37" s="153">
        <v>3.689648874564852E-2</v>
      </c>
      <c r="D37" s="3"/>
      <c r="E37" s="459">
        <v>8</v>
      </c>
      <c r="F37" s="3"/>
      <c r="G37" s="3">
        <v>8</v>
      </c>
      <c r="H37" s="3">
        <v>8</v>
      </c>
      <c r="J37" s="3">
        <v>47</v>
      </c>
      <c r="N37" s="466"/>
    </row>
    <row r="38" spans="1:20" ht="10" customHeight="1">
      <c r="A38" s="445" t="s">
        <v>245</v>
      </c>
      <c r="B38" s="3">
        <v>6</v>
      </c>
      <c r="C38" s="153">
        <v>6.3838989556473297E-2</v>
      </c>
      <c r="D38" s="3"/>
      <c r="E38" s="459">
        <v>10.17</v>
      </c>
      <c r="F38" s="3"/>
      <c r="G38" s="3">
        <v>51</v>
      </c>
      <c r="H38" s="3">
        <v>42</v>
      </c>
      <c r="J38" s="3">
        <v>85</v>
      </c>
      <c r="N38" s="466"/>
    </row>
    <row r="39" spans="1:20" ht="10" customHeight="1">
      <c r="A39" s="445" t="s">
        <v>246</v>
      </c>
      <c r="B39" s="3">
        <v>30</v>
      </c>
      <c r="C39" s="153">
        <v>0.1217900210128383</v>
      </c>
      <c r="D39" s="3"/>
      <c r="E39" s="459">
        <v>10.4</v>
      </c>
      <c r="F39" s="3"/>
      <c r="G39" s="3">
        <v>254</v>
      </c>
      <c r="H39" s="3">
        <v>213</v>
      </c>
      <c r="J39" s="3">
        <v>123</v>
      </c>
      <c r="N39" s="466"/>
    </row>
    <row r="40" spans="1:20" ht="10" customHeight="1">
      <c r="A40" s="445" t="s">
        <v>415</v>
      </c>
      <c r="B40" s="3">
        <v>5</v>
      </c>
      <c r="C40" s="153">
        <v>6.2380229958479722E-2</v>
      </c>
      <c r="D40" s="3"/>
      <c r="E40" s="459">
        <v>10.6</v>
      </c>
      <c r="F40" s="3"/>
      <c r="G40" s="3">
        <v>84</v>
      </c>
      <c r="H40" s="3">
        <v>74</v>
      </c>
      <c r="J40" s="3">
        <v>64</v>
      </c>
      <c r="N40" s="466"/>
    </row>
    <row r="41" spans="1:20" ht="10" customHeight="1">
      <c r="A41" s="148" t="s">
        <v>248</v>
      </c>
      <c r="B41" s="5">
        <v>122</v>
      </c>
      <c r="C41" s="149">
        <v>0.15061343494061324</v>
      </c>
      <c r="D41" s="5"/>
      <c r="E41" s="462">
        <v>8.01</v>
      </c>
      <c r="F41" s="5"/>
      <c r="G41" s="5">
        <v>947</v>
      </c>
      <c r="H41" s="5">
        <v>715</v>
      </c>
      <c r="I41" s="463"/>
      <c r="J41" s="5">
        <v>167</v>
      </c>
      <c r="L41" s="467"/>
      <c r="M41"/>
      <c r="N41"/>
      <c r="O41" s="5"/>
      <c r="P41" s="468"/>
      <c r="Q41"/>
      <c r="R41"/>
      <c r="S41"/>
      <c r="T41"/>
    </row>
    <row r="42" spans="1:20" ht="10" customHeight="1">
      <c r="A42" s="148" t="s">
        <v>249</v>
      </c>
      <c r="B42" s="5">
        <v>110</v>
      </c>
      <c r="C42" s="149">
        <v>0.18675517050789511</v>
      </c>
      <c r="D42" s="5"/>
      <c r="E42" s="462">
        <v>8.15</v>
      </c>
      <c r="F42" s="5"/>
      <c r="G42" s="5">
        <v>866</v>
      </c>
      <c r="H42" s="5">
        <v>648</v>
      </c>
      <c r="I42" s="463"/>
      <c r="J42" s="5">
        <v>139</v>
      </c>
      <c r="L42"/>
      <c r="M42"/>
      <c r="N42"/>
      <c r="O42" s="5"/>
      <c r="P42" s="468"/>
      <c r="Q42"/>
      <c r="R42"/>
      <c r="S42"/>
      <c r="T42"/>
    </row>
    <row r="43" spans="1:20" ht="10" customHeight="1">
      <c r="A43" s="148" t="s">
        <v>250</v>
      </c>
      <c r="B43" s="5">
        <v>54</v>
      </c>
      <c r="C43" s="149">
        <v>8.9571935719197956E-2</v>
      </c>
      <c r="D43" s="5"/>
      <c r="E43" s="462">
        <v>7.78</v>
      </c>
      <c r="F43" s="5"/>
      <c r="G43" s="5">
        <v>441</v>
      </c>
      <c r="H43" s="5">
        <v>330</v>
      </c>
      <c r="I43" s="463"/>
      <c r="J43" s="5">
        <v>154</v>
      </c>
      <c r="L43"/>
      <c r="M43"/>
      <c r="N43"/>
      <c r="O43" s="5"/>
      <c r="P43" s="468"/>
      <c r="Q43"/>
      <c r="R43"/>
      <c r="S43"/>
      <c r="T43"/>
    </row>
    <row r="44" spans="1:20" ht="10" customHeight="1">
      <c r="A44" s="148" t="s">
        <v>251</v>
      </c>
      <c r="B44" s="5">
        <v>54</v>
      </c>
      <c r="C44" s="149">
        <v>7.8606075550919419E-2</v>
      </c>
      <c r="D44" s="5"/>
      <c r="E44" s="462">
        <v>10.130000000000001</v>
      </c>
      <c r="F44" s="5"/>
      <c r="G44" s="5">
        <v>462</v>
      </c>
      <c r="H44" s="5">
        <v>388</v>
      </c>
      <c r="I44" s="463"/>
      <c r="J44" s="5">
        <v>96</v>
      </c>
      <c r="L44"/>
      <c r="M44"/>
      <c r="N44"/>
      <c r="O44" s="5"/>
      <c r="P44" s="468"/>
      <c r="Q44"/>
      <c r="R44"/>
      <c r="S44"/>
      <c r="T44"/>
    </row>
    <row r="45" spans="1:20" ht="10" customHeight="1">
      <c r="A45" s="148" t="s">
        <v>252</v>
      </c>
      <c r="B45" s="5">
        <v>35</v>
      </c>
      <c r="C45" s="149">
        <v>0.10720437932952544</v>
      </c>
      <c r="D45" s="5"/>
      <c r="E45" s="462">
        <v>10.43</v>
      </c>
      <c r="F45" s="5"/>
      <c r="G45" s="5">
        <v>338</v>
      </c>
      <c r="H45" s="5">
        <v>287</v>
      </c>
      <c r="I45" s="463"/>
      <c r="J45" s="5">
        <v>114</v>
      </c>
      <c r="L45"/>
      <c r="M45"/>
      <c r="N45"/>
      <c r="O45" s="5"/>
      <c r="P45" s="468"/>
      <c r="Q45"/>
      <c r="R45"/>
      <c r="S45"/>
      <c r="T45"/>
    </row>
    <row r="46" spans="1:20" ht="10" customHeight="1">
      <c r="A46" s="156" t="s">
        <v>253</v>
      </c>
      <c r="B46" s="454">
        <v>375</v>
      </c>
      <c r="C46" s="453">
        <v>0.12436393856348474</v>
      </c>
      <c r="D46" s="454"/>
      <c r="E46" s="464">
        <v>8.5500000000000007</v>
      </c>
      <c r="F46" s="454"/>
      <c r="G46" s="454">
        <v>3054</v>
      </c>
      <c r="H46" s="454">
        <v>2368</v>
      </c>
      <c r="I46" s="454"/>
      <c r="J46" s="454">
        <v>141</v>
      </c>
      <c r="L46"/>
      <c r="M46"/>
      <c r="N46"/>
      <c r="O46" s="5"/>
      <c r="P46" s="468"/>
      <c r="Q46"/>
      <c r="R46"/>
      <c r="S46"/>
      <c r="T46"/>
    </row>
    <row r="47" spans="1:20" ht="3" customHeight="1">
      <c r="A47" s="148"/>
      <c r="B47" s="5"/>
      <c r="C47" s="5"/>
      <c r="D47" s="5"/>
      <c r="E47" s="5"/>
      <c r="F47" s="5"/>
      <c r="G47" s="5"/>
      <c r="H47" s="149"/>
      <c r="I47" s="150"/>
      <c r="J47" s="157"/>
      <c r="L47"/>
      <c r="M47"/>
      <c r="N47"/>
      <c r="O47"/>
      <c r="P47"/>
      <c r="Q47"/>
      <c r="R47"/>
      <c r="S47"/>
      <c r="T47"/>
    </row>
    <row r="48" spans="1:20" ht="10" customHeight="1">
      <c r="A48" s="652" t="s">
        <v>559</v>
      </c>
      <c r="B48" s="652"/>
      <c r="C48" s="652"/>
      <c r="D48" s="652"/>
      <c r="E48" s="652"/>
      <c r="F48" s="652"/>
      <c r="G48" s="652"/>
      <c r="H48" s="652"/>
      <c r="I48" s="150"/>
      <c r="J48" s="150"/>
      <c r="L48"/>
      <c r="M48"/>
      <c r="N48"/>
      <c r="O48"/>
      <c r="P48"/>
      <c r="Q48"/>
      <c r="R48"/>
      <c r="S48"/>
      <c r="T48"/>
    </row>
    <row r="49" spans="1:20" ht="19.5" customHeight="1">
      <c r="A49" s="652" t="s">
        <v>560</v>
      </c>
      <c r="B49" s="652"/>
      <c r="C49" s="652"/>
      <c r="D49" s="652"/>
      <c r="E49" s="652"/>
      <c r="F49" s="652"/>
      <c r="G49" s="652"/>
      <c r="H49" s="652"/>
      <c r="I49" s="652"/>
      <c r="J49" s="652"/>
      <c r="L49"/>
      <c r="M49"/>
      <c r="N49"/>
      <c r="O49"/>
      <c r="P49"/>
      <c r="Q49"/>
      <c r="R49"/>
      <c r="S49"/>
      <c r="T49"/>
    </row>
    <row r="50" spans="1:20" ht="10" customHeight="1">
      <c r="A50" s="652" t="s">
        <v>561</v>
      </c>
      <c r="B50" s="652"/>
      <c r="C50" s="652"/>
      <c r="D50" s="652"/>
      <c r="E50" s="652"/>
      <c r="F50" s="652"/>
      <c r="G50" s="652"/>
      <c r="H50" s="652"/>
      <c r="I50" s="652"/>
      <c r="J50" s="652"/>
      <c r="L50"/>
      <c r="M50"/>
      <c r="N50"/>
      <c r="O50"/>
      <c r="P50"/>
      <c r="Q50"/>
      <c r="R50"/>
      <c r="S50"/>
      <c r="T50"/>
    </row>
    <row r="51" spans="1:20" ht="20.25" customHeight="1">
      <c r="A51" s="771" t="s">
        <v>562</v>
      </c>
      <c r="B51" s="771"/>
      <c r="C51" s="771"/>
      <c r="D51" s="771"/>
      <c r="E51" s="771"/>
      <c r="F51" s="771"/>
      <c r="G51" s="771"/>
      <c r="H51" s="771"/>
      <c r="I51" s="771"/>
      <c r="J51" s="771"/>
      <c r="L51"/>
      <c r="M51"/>
      <c r="N51"/>
      <c r="O51"/>
      <c r="P51"/>
      <c r="Q51"/>
      <c r="R51"/>
      <c r="S51"/>
      <c r="T51"/>
    </row>
    <row r="52" spans="1:20" ht="10.5" customHeight="1">
      <c r="L52"/>
      <c r="M52"/>
      <c r="N52"/>
      <c r="O52"/>
      <c r="P52"/>
      <c r="Q52"/>
      <c r="R52"/>
      <c r="S52"/>
      <c r="T52"/>
    </row>
    <row r="53" spans="1:20" ht="14.5">
      <c r="L53"/>
      <c r="M53"/>
      <c r="N53"/>
      <c r="O53"/>
      <c r="P53"/>
      <c r="Q53"/>
      <c r="R53"/>
      <c r="S53"/>
      <c r="T53"/>
    </row>
    <row r="54" spans="1:20" ht="14.5">
      <c r="L54"/>
      <c r="M54"/>
      <c r="N54"/>
      <c r="O54"/>
      <c r="P54"/>
      <c r="Q54"/>
      <c r="R54"/>
      <c r="S54"/>
      <c r="T54"/>
    </row>
    <row r="55" spans="1:20" ht="14.5">
      <c r="L55"/>
      <c r="M55"/>
      <c r="N55"/>
      <c r="O55"/>
      <c r="P55"/>
      <c r="Q55"/>
      <c r="R55"/>
      <c r="S55"/>
      <c r="T55"/>
    </row>
    <row r="56" spans="1:20" ht="14.5">
      <c r="L56"/>
      <c r="M56"/>
      <c r="N56"/>
      <c r="O56"/>
      <c r="P56"/>
      <c r="Q56"/>
      <c r="R56"/>
      <c r="S56"/>
      <c r="T56"/>
    </row>
  </sheetData>
  <mergeCells count="13">
    <mergeCell ref="B17:J17"/>
    <mergeCell ref="A48:H48"/>
    <mergeCell ref="A49:J49"/>
    <mergeCell ref="A50:J50"/>
    <mergeCell ref="A51:J51"/>
    <mergeCell ref="A5:J5"/>
    <mergeCell ref="A8:A10"/>
    <mergeCell ref="B8:C8"/>
    <mergeCell ref="E8:E10"/>
    <mergeCell ref="G8:H8"/>
    <mergeCell ref="J8:J10"/>
    <mergeCell ref="B9:B10"/>
    <mergeCell ref="C9:C10"/>
  </mergeCells>
  <pageMargins left="0.7" right="0.7" top="0.75" bottom="0.75" header="0.3" footer="0.3"/>
  <pageSetup paperSize="9" orientation="portrait"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597"/>
  <sheetViews>
    <sheetView zoomScaleNormal="100" workbookViewId="0">
      <selection activeCell="A4" sqref="A4"/>
    </sheetView>
  </sheetViews>
  <sheetFormatPr defaultRowHeight="15" customHeight="1"/>
  <cols>
    <col min="1" max="1" width="17" customWidth="1"/>
    <col min="2" max="2" width="12" customWidth="1"/>
    <col min="3" max="3" width="10.54296875" customWidth="1"/>
    <col min="4" max="4" width="8.1796875" customWidth="1"/>
    <col min="5" max="5" width="10.54296875" customWidth="1"/>
    <col min="6" max="6" width="0.81640625" customWidth="1"/>
    <col min="7" max="7" width="10.54296875" customWidth="1"/>
    <col min="8" max="8" width="7.54296875" customWidth="1"/>
    <col min="9" max="9" width="10.54296875" customWidth="1"/>
    <col min="65" max="65" width="21.453125" customWidth="1"/>
    <col min="66" max="66" width="12" customWidth="1"/>
    <col min="67" max="67" width="8.1796875" customWidth="1"/>
    <col min="68" max="68" width="10.54296875" customWidth="1"/>
    <col min="69" max="69" width="7.54296875" customWidth="1"/>
    <col min="70" max="70" width="0.81640625" customWidth="1"/>
    <col min="71" max="71" width="7.54296875" customWidth="1"/>
    <col min="72" max="72" width="10.54296875" customWidth="1"/>
    <col min="73" max="73" width="7.54296875" customWidth="1"/>
    <col min="321" max="321" width="21.453125" customWidth="1"/>
    <col min="322" max="322" width="12" customWidth="1"/>
    <col min="323" max="323" width="8.1796875" customWidth="1"/>
    <col min="324" max="324" width="10.54296875" customWidth="1"/>
    <col min="325" max="325" width="7.54296875" customWidth="1"/>
    <col min="326" max="326" width="0.81640625" customWidth="1"/>
    <col min="327" max="327" width="7.54296875" customWidth="1"/>
    <col min="328" max="328" width="10.54296875" customWidth="1"/>
    <col min="329" max="329" width="7.54296875" customWidth="1"/>
    <col min="577" max="577" width="21.453125" customWidth="1"/>
    <col min="578" max="578" width="12" customWidth="1"/>
    <col min="579" max="579" width="8.1796875" customWidth="1"/>
    <col min="580" max="580" width="10.54296875" customWidth="1"/>
    <col min="581" max="581" width="7.54296875" customWidth="1"/>
    <col min="582" max="582" width="0.81640625" customWidth="1"/>
    <col min="583" max="583" width="7.54296875" customWidth="1"/>
    <col min="584" max="584" width="10.54296875" customWidth="1"/>
    <col min="585" max="585" width="7.54296875" customWidth="1"/>
    <col min="833" max="833" width="21.453125" customWidth="1"/>
    <col min="834" max="834" width="12" customWidth="1"/>
    <col min="835" max="835" width="8.1796875" customWidth="1"/>
    <col min="836" max="836" width="10.54296875" customWidth="1"/>
    <col min="837" max="837" width="7.54296875" customWidth="1"/>
    <col min="838" max="838" width="0.81640625" customWidth="1"/>
    <col min="839" max="839" width="7.54296875" customWidth="1"/>
    <col min="840" max="840" width="10.54296875" customWidth="1"/>
    <col min="841" max="841" width="7.54296875" customWidth="1"/>
    <col min="1089" max="1089" width="21.453125" customWidth="1"/>
    <col min="1090" max="1090" width="12" customWidth="1"/>
    <col min="1091" max="1091" width="8.1796875" customWidth="1"/>
    <col min="1092" max="1092" width="10.54296875" customWidth="1"/>
    <col min="1093" max="1093" width="7.54296875" customWidth="1"/>
    <col min="1094" max="1094" width="0.81640625" customWidth="1"/>
    <col min="1095" max="1095" width="7.54296875" customWidth="1"/>
    <col min="1096" max="1096" width="10.54296875" customWidth="1"/>
    <col min="1097" max="1097" width="7.54296875" customWidth="1"/>
    <col min="1345" max="1345" width="21.453125" customWidth="1"/>
    <col min="1346" max="1346" width="12" customWidth="1"/>
    <col min="1347" max="1347" width="8.1796875" customWidth="1"/>
    <col min="1348" max="1348" width="10.54296875" customWidth="1"/>
    <col min="1349" max="1349" width="7.54296875" customWidth="1"/>
    <col min="1350" max="1350" width="0.81640625" customWidth="1"/>
    <col min="1351" max="1351" width="7.54296875" customWidth="1"/>
    <col min="1352" max="1352" width="10.54296875" customWidth="1"/>
    <col min="1353" max="1353" width="7.54296875" customWidth="1"/>
    <col min="1601" max="1601" width="21.453125" customWidth="1"/>
    <col min="1602" max="1602" width="12" customWidth="1"/>
    <col min="1603" max="1603" width="8.1796875" customWidth="1"/>
    <col min="1604" max="1604" width="10.54296875" customWidth="1"/>
    <col min="1605" max="1605" width="7.54296875" customWidth="1"/>
    <col min="1606" max="1606" width="0.81640625" customWidth="1"/>
    <col min="1607" max="1607" width="7.54296875" customWidth="1"/>
    <col min="1608" max="1608" width="10.54296875" customWidth="1"/>
    <col min="1609" max="1609" width="7.54296875" customWidth="1"/>
    <col min="1857" max="1857" width="21.453125" customWidth="1"/>
    <col min="1858" max="1858" width="12" customWidth="1"/>
    <col min="1859" max="1859" width="8.1796875" customWidth="1"/>
    <col min="1860" max="1860" width="10.54296875" customWidth="1"/>
    <col min="1861" max="1861" width="7.54296875" customWidth="1"/>
    <col min="1862" max="1862" width="0.81640625" customWidth="1"/>
    <col min="1863" max="1863" width="7.54296875" customWidth="1"/>
    <col min="1864" max="1864" width="10.54296875" customWidth="1"/>
    <col min="1865" max="1865" width="7.54296875" customWidth="1"/>
    <col min="2113" max="2113" width="21.453125" customWidth="1"/>
    <col min="2114" max="2114" width="12" customWidth="1"/>
    <col min="2115" max="2115" width="8.1796875" customWidth="1"/>
    <col min="2116" max="2116" width="10.54296875" customWidth="1"/>
    <col min="2117" max="2117" width="7.54296875" customWidth="1"/>
    <col min="2118" max="2118" width="0.81640625" customWidth="1"/>
    <col min="2119" max="2119" width="7.54296875" customWidth="1"/>
    <col min="2120" max="2120" width="10.54296875" customWidth="1"/>
    <col min="2121" max="2121" width="7.54296875" customWidth="1"/>
    <col min="2369" max="2369" width="21.453125" customWidth="1"/>
    <col min="2370" max="2370" width="12" customWidth="1"/>
    <col min="2371" max="2371" width="8.1796875" customWidth="1"/>
    <col min="2372" max="2372" width="10.54296875" customWidth="1"/>
    <col min="2373" max="2373" width="7.54296875" customWidth="1"/>
    <col min="2374" max="2374" width="0.81640625" customWidth="1"/>
    <col min="2375" max="2375" width="7.54296875" customWidth="1"/>
    <col min="2376" max="2376" width="10.54296875" customWidth="1"/>
    <col min="2377" max="2377" width="7.54296875" customWidth="1"/>
    <col min="2625" max="2625" width="21.453125" customWidth="1"/>
    <col min="2626" max="2626" width="12" customWidth="1"/>
    <col min="2627" max="2627" width="8.1796875" customWidth="1"/>
    <col min="2628" max="2628" width="10.54296875" customWidth="1"/>
    <col min="2629" max="2629" width="7.54296875" customWidth="1"/>
    <col min="2630" max="2630" width="0.81640625" customWidth="1"/>
    <col min="2631" max="2631" width="7.54296875" customWidth="1"/>
    <col min="2632" max="2632" width="10.54296875" customWidth="1"/>
    <col min="2633" max="2633" width="7.54296875" customWidth="1"/>
    <col min="2881" max="2881" width="21.453125" customWidth="1"/>
    <col min="2882" max="2882" width="12" customWidth="1"/>
    <col min="2883" max="2883" width="8.1796875" customWidth="1"/>
    <col min="2884" max="2884" width="10.54296875" customWidth="1"/>
    <col min="2885" max="2885" width="7.54296875" customWidth="1"/>
    <col min="2886" max="2886" width="0.81640625" customWidth="1"/>
    <col min="2887" max="2887" width="7.54296875" customWidth="1"/>
    <col min="2888" max="2888" width="10.54296875" customWidth="1"/>
    <col min="2889" max="2889" width="7.54296875" customWidth="1"/>
    <col min="3137" max="3137" width="21.453125" customWidth="1"/>
    <col min="3138" max="3138" width="12" customWidth="1"/>
    <col min="3139" max="3139" width="8.1796875" customWidth="1"/>
    <col min="3140" max="3140" width="10.54296875" customWidth="1"/>
    <col min="3141" max="3141" width="7.54296875" customWidth="1"/>
    <col min="3142" max="3142" width="0.81640625" customWidth="1"/>
    <col min="3143" max="3143" width="7.54296875" customWidth="1"/>
    <col min="3144" max="3144" width="10.54296875" customWidth="1"/>
    <col min="3145" max="3145" width="7.54296875" customWidth="1"/>
    <col min="3393" max="3393" width="21.453125" customWidth="1"/>
    <col min="3394" max="3394" width="12" customWidth="1"/>
    <col min="3395" max="3395" width="8.1796875" customWidth="1"/>
    <col min="3396" max="3396" width="10.54296875" customWidth="1"/>
    <col min="3397" max="3397" width="7.54296875" customWidth="1"/>
    <col min="3398" max="3398" width="0.81640625" customWidth="1"/>
    <col min="3399" max="3399" width="7.54296875" customWidth="1"/>
    <col min="3400" max="3400" width="10.54296875" customWidth="1"/>
    <col min="3401" max="3401" width="7.54296875" customWidth="1"/>
    <col min="3649" max="3649" width="21.453125" customWidth="1"/>
    <col min="3650" max="3650" width="12" customWidth="1"/>
    <col min="3651" max="3651" width="8.1796875" customWidth="1"/>
    <col min="3652" max="3652" width="10.54296875" customWidth="1"/>
    <col min="3653" max="3653" width="7.54296875" customWidth="1"/>
    <col min="3654" max="3654" width="0.81640625" customWidth="1"/>
    <col min="3655" max="3655" width="7.54296875" customWidth="1"/>
    <col min="3656" max="3656" width="10.54296875" customWidth="1"/>
    <col min="3657" max="3657" width="7.54296875" customWidth="1"/>
    <col min="3905" max="3905" width="21.453125" customWidth="1"/>
    <col min="3906" max="3906" width="12" customWidth="1"/>
    <col min="3907" max="3907" width="8.1796875" customWidth="1"/>
    <col min="3908" max="3908" width="10.54296875" customWidth="1"/>
    <col min="3909" max="3909" width="7.54296875" customWidth="1"/>
    <col min="3910" max="3910" width="0.81640625" customWidth="1"/>
    <col min="3911" max="3911" width="7.54296875" customWidth="1"/>
    <col min="3912" max="3912" width="10.54296875" customWidth="1"/>
    <col min="3913" max="3913" width="7.54296875" customWidth="1"/>
    <col min="4161" max="4161" width="21.453125" customWidth="1"/>
    <col min="4162" max="4162" width="12" customWidth="1"/>
    <col min="4163" max="4163" width="8.1796875" customWidth="1"/>
    <col min="4164" max="4164" width="10.54296875" customWidth="1"/>
    <col min="4165" max="4165" width="7.54296875" customWidth="1"/>
    <col min="4166" max="4166" width="0.81640625" customWidth="1"/>
    <col min="4167" max="4167" width="7.54296875" customWidth="1"/>
    <col min="4168" max="4168" width="10.54296875" customWidth="1"/>
    <col min="4169" max="4169" width="7.54296875" customWidth="1"/>
    <col min="4417" max="4417" width="21.453125" customWidth="1"/>
    <col min="4418" max="4418" width="12" customWidth="1"/>
    <col min="4419" max="4419" width="8.1796875" customWidth="1"/>
    <col min="4420" max="4420" width="10.54296875" customWidth="1"/>
    <col min="4421" max="4421" width="7.54296875" customWidth="1"/>
    <col min="4422" max="4422" width="0.81640625" customWidth="1"/>
    <col min="4423" max="4423" width="7.54296875" customWidth="1"/>
    <col min="4424" max="4424" width="10.54296875" customWidth="1"/>
    <col min="4425" max="4425" width="7.54296875" customWidth="1"/>
    <col min="4673" max="4673" width="21.453125" customWidth="1"/>
    <col min="4674" max="4674" width="12" customWidth="1"/>
    <col min="4675" max="4675" width="8.1796875" customWidth="1"/>
    <col min="4676" max="4676" width="10.54296875" customWidth="1"/>
    <col min="4677" max="4677" width="7.54296875" customWidth="1"/>
    <col min="4678" max="4678" width="0.81640625" customWidth="1"/>
    <col min="4679" max="4679" width="7.54296875" customWidth="1"/>
    <col min="4680" max="4680" width="10.54296875" customWidth="1"/>
    <col min="4681" max="4681" width="7.54296875" customWidth="1"/>
    <col min="4929" max="4929" width="21.453125" customWidth="1"/>
    <col min="4930" max="4930" width="12" customWidth="1"/>
    <col min="4931" max="4931" width="8.1796875" customWidth="1"/>
    <col min="4932" max="4932" width="10.54296875" customWidth="1"/>
    <col min="4933" max="4933" width="7.54296875" customWidth="1"/>
    <col min="4934" max="4934" width="0.81640625" customWidth="1"/>
    <col min="4935" max="4935" width="7.54296875" customWidth="1"/>
    <col min="4936" max="4936" width="10.54296875" customWidth="1"/>
    <col min="4937" max="4937" width="7.54296875" customWidth="1"/>
    <col min="5185" max="5185" width="21.453125" customWidth="1"/>
    <col min="5186" max="5186" width="12" customWidth="1"/>
    <col min="5187" max="5187" width="8.1796875" customWidth="1"/>
    <col min="5188" max="5188" width="10.54296875" customWidth="1"/>
    <col min="5189" max="5189" width="7.54296875" customWidth="1"/>
    <col min="5190" max="5190" width="0.81640625" customWidth="1"/>
    <col min="5191" max="5191" width="7.54296875" customWidth="1"/>
    <col min="5192" max="5192" width="10.54296875" customWidth="1"/>
    <col min="5193" max="5193" width="7.54296875" customWidth="1"/>
    <col min="5441" max="5441" width="21.453125" customWidth="1"/>
    <col min="5442" max="5442" width="12" customWidth="1"/>
    <col min="5443" max="5443" width="8.1796875" customWidth="1"/>
    <col min="5444" max="5444" width="10.54296875" customWidth="1"/>
    <col min="5445" max="5445" width="7.54296875" customWidth="1"/>
    <col min="5446" max="5446" width="0.81640625" customWidth="1"/>
    <col min="5447" max="5447" width="7.54296875" customWidth="1"/>
    <col min="5448" max="5448" width="10.54296875" customWidth="1"/>
    <col min="5449" max="5449" width="7.54296875" customWidth="1"/>
    <col min="5697" max="5697" width="21.453125" customWidth="1"/>
    <col min="5698" max="5698" width="12" customWidth="1"/>
    <col min="5699" max="5699" width="8.1796875" customWidth="1"/>
    <col min="5700" max="5700" width="10.54296875" customWidth="1"/>
    <col min="5701" max="5701" width="7.54296875" customWidth="1"/>
    <col min="5702" max="5702" width="0.81640625" customWidth="1"/>
    <col min="5703" max="5703" width="7.54296875" customWidth="1"/>
    <col min="5704" max="5704" width="10.54296875" customWidth="1"/>
    <col min="5705" max="5705" width="7.54296875" customWidth="1"/>
    <col min="5953" max="5953" width="21.453125" customWidth="1"/>
    <col min="5954" max="5954" width="12" customWidth="1"/>
    <col min="5955" max="5955" width="8.1796875" customWidth="1"/>
    <col min="5956" max="5956" width="10.54296875" customWidth="1"/>
    <col min="5957" max="5957" width="7.54296875" customWidth="1"/>
    <col min="5958" max="5958" width="0.81640625" customWidth="1"/>
    <col min="5959" max="5959" width="7.54296875" customWidth="1"/>
    <col min="5960" max="5960" width="10.54296875" customWidth="1"/>
    <col min="5961" max="5961" width="7.54296875" customWidth="1"/>
    <col min="6209" max="6209" width="21.453125" customWidth="1"/>
    <col min="6210" max="6210" width="12" customWidth="1"/>
    <col min="6211" max="6211" width="8.1796875" customWidth="1"/>
    <col min="6212" max="6212" width="10.54296875" customWidth="1"/>
    <col min="6213" max="6213" width="7.54296875" customWidth="1"/>
    <col min="6214" max="6214" width="0.81640625" customWidth="1"/>
    <col min="6215" max="6215" width="7.54296875" customWidth="1"/>
    <col min="6216" max="6216" width="10.54296875" customWidth="1"/>
    <col min="6217" max="6217" width="7.54296875" customWidth="1"/>
    <col min="6465" max="6465" width="21.453125" customWidth="1"/>
    <col min="6466" max="6466" width="12" customWidth="1"/>
    <col min="6467" max="6467" width="8.1796875" customWidth="1"/>
    <col min="6468" max="6468" width="10.54296875" customWidth="1"/>
    <col min="6469" max="6469" width="7.54296875" customWidth="1"/>
    <col min="6470" max="6470" width="0.81640625" customWidth="1"/>
    <col min="6471" max="6471" width="7.54296875" customWidth="1"/>
    <col min="6472" max="6472" width="10.54296875" customWidth="1"/>
    <col min="6473" max="6473" width="7.54296875" customWidth="1"/>
    <col min="6721" max="6721" width="21.453125" customWidth="1"/>
    <col min="6722" max="6722" width="12" customWidth="1"/>
    <col min="6723" max="6723" width="8.1796875" customWidth="1"/>
    <col min="6724" max="6724" width="10.54296875" customWidth="1"/>
    <col min="6725" max="6725" width="7.54296875" customWidth="1"/>
    <col min="6726" max="6726" width="0.81640625" customWidth="1"/>
    <col min="6727" max="6727" width="7.54296875" customWidth="1"/>
    <col min="6728" max="6728" width="10.54296875" customWidth="1"/>
    <col min="6729" max="6729" width="7.54296875" customWidth="1"/>
    <col min="6977" max="6977" width="21.453125" customWidth="1"/>
    <col min="6978" max="6978" width="12" customWidth="1"/>
    <col min="6979" max="6979" width="8.1796875" customWidth="1"/>
    <col min="6980" max="6980" width="10.54296875" customWidth="1"/>
    <col min="6981" max="6981" width="7.54296875" customWidth="1"/>
    <col min="6982" max="6982" width="0.81640625" customWidth="1"/>
    <col min="6983" max="6983" width="7.54296875" customWidth="1"/>
    <col min="6984" max="6984" width="10.54296875" customWidth="1"/>
    <col min="6985" max="6985" width="7.54296875" customWidth="1"/>
    <col min="7233" max="7233" width="21.453125" customWidth="1"/>
    <col min="7234" max="7234" width="12" customWidth="1"/>
    <col min="7235" max="7235" width="8.1796875" customWidth="1"/>
    <col min="7236" max="7236" width="10.54296875" customWidth="1"/>
    <col min="7237" max="7237" width="7.54296875" customWidth="1"/>
    <col min="7238" max="7238" width="0.81640625" customWidth="1"/>
    <col min="7239" max="7239" width="7.54296875" customWidth="1"/>
    <col min="7240" max="7240" width="10.54296875" customWidth="1"/>
    <col min="7241" max="7241" width="7.54296875" customWidth="1"/>
    <col min="7489" max="7489" width="21.453125" customWidth="1"/>
    <col min="7490" max="7490" width="12" customWidth="1"/>
    <col min="7491" max="7491" width="8.1796875" customWidth="1"/>
    <col min="7492" max="7492" width="10.54296875" customWidth="1"/>
    <col min="7493" max="7493" width="7.54296875" customWidth="1"/>
    <col min="7494" max="7494" width="0.81640625" customWidth="1"/>
    <col min="7495" max="7495" width="7.54296875" customWidth="1"/>
    <col min="7496" max="7496" width="10.54296875" customWidth="1"/>
    <col min="7497" max="7497" width="7.54296875" customWidth="1"/>
    <col min="7745" max="7745" width="21.453125" customWidth="1"/>
    <col min="7746" max="7746" width="12" customWidth="1"/>
    <col min="7747" max="7747" width="8.1796875" customWidth="1"/>
    <col min="7748" max="7748" width="10.54296875" customWidth="1"/>
    <col min="7749" max="7749" width="7.54296875" customWidth="1"/>
    <col min="7750" max="7750" width="0.81640625" customWidth="1"/>
    <col min="7751" max="7751" width="7.54296875" customWidth="1"/>
    <col min="7752" max="7752" width="10.54296875" customWidth="1"/>
    <col min="7753" max="7753" width="7.54296875" customWidth="1"/>
    <col min="8001" max="8001" width="21.453125" customWidth="1"/>
    <col min="8002" max="8002" width="12" customWidth="1"/>
    <col min="8003" max="8003" width="8.1796875" customWidth="1"/>
    <col min="8004" max="8004" width="10.54296875" customWidth="1"/>
    <col min="8005" max="8005" width="7.54296875" customWidth="1"/>
    <col min="8006" max="8006" width="0.81640625" customWidth="1"/>
    <col min="8007" max="8007" width="7.54296875" customWidth="1"/>
    <col min="8008" max="8008" width="10.54296875" customWidth="1"/>
    <col min="8009" max="8009" width="7.54296875" customWidth="1"/>
    <col min="8257" max="8257" width="21.453125" customWidth="1"/>
    <col min="8258" max="8258" width="12" customWidth="1"/>
    <col min="8259" max="8259" width="8.1796875" customWidth="1"/>
    <col min="8260" max="8260" width="10.54296875" customWidth="1"/>
    <col min="8261" max="8261" width="7.54296875" customWidth="1"/>
    <col min="8262" max="8262" width="0.81640625" customWidth="1"/>
    <col min="8263" max="8263" width="7.54296875" customWidth="1"/>
    <col min="8264" max="8264" width="10.54296875" customWidth="1"/>
    <col min="8265" max="8265" width="7.54296875" customWidth="1"/>
    <col min="8513" max="8513" width="21.453125" customWidth="1"/>
    <col min="8514" max="8514" width="12" customWidth="1"/>
    <col min="8515" max="8515" width="8.1796875" customWidth="1"/>
    <col min="8516" max="8516" width="10.54296875" customWidth="1"/>
    <col min="8517" max="8517" width="7.54296875" customWidth="1"/>
    <col min="8518" max="8518" width="0.81640625" customWidth="1"/>
    <col min="8519" max="8519" width="7.54296875" customWidth="1"/>
    <col min="8520" max="8520" width="10.54296875" customWidth="1"/>
    <col min="8521" max="8521" width="7.54296875" customWidth="1"/>
    <col min="8769" max="8769" width="21.453125" customWidth="1"/>
    <col min="8770" max="8770" width="12" customWidth="1"/>
    <col min="8771" max="8771" width="8.1796875" customWidth="1"/>
    <col min="8772" max="8772" width="10.54296875" customWidth="1"/>
    <col min="8773" max="8773" width="7.54296875" customWidth="1"/>
    <col min="8774" max="8774" width="0.81640625" customWidth="1"/>
    <col min="8775" max="8775" width="7.54296875" customWidth="1"/>
    <col min="8776" max="8776" width="10.54296875" customWidth="1"/>
    <col min="8777" max="8777" width="7.54296875" customWidth="1"/>
    <col min="9025" max="9025" width="21.453125" customWidth="1"/>
    <col min="9026" max="9026" width="12" customWidth="1"/>
    <col min="9027" max="9027" width="8.1796875" customWidth="1"/>
    <col min="9028" max="9028" width="10.54296875" customWidth="1"/>
    <col min="9029" max="9029" width="7.54296875" customWidth="1"/>
    <col min="9030" max="9030" width="0.81640625" customWidth="1"/>
    <col min="9031" max="9031" width="7.54296875" customWidth="1"/>
    <col min="9032" max="9032" width="10.54296875" customWidth="1"/>
    <col min="9033" max="9033" width="7.54296875" customWidth="1"/>
    <col min="9281" max="9281" width="21.453125" customWidth="1"/>
    <col min="9282" max="9282" width="12" customWidth="1"/>
    <col min="9283" max="9283" width="8.1796875" customWidth="1"/>
    <col min="9284" max="9284" width="10.54296875" customWidth="1"/>
    <col min="9285" max="9285" width="7.54296875" customWidth="1"/>
    <col min="9286" max="9286" width="0.81640625" customWidth="1"/>
    <col min="9287" max="9287" width="7.54296875" customWidth="1"/>
    <col min="9288" max="9288" width="10.54296875" customWidth="1"/>
    <col min="9289" max="9289" width="7.54296875" customWidth="1"/>
    <col min="9537" max="9537" width="21.453125" customWidth="1"/>
    <col min="9538" max="9538" width="12" customWidth="1"/>
    <col min="9539" max="9539" width="8.1796875" customWidth="1"/>
    <col min="9540" max="9540" width="10.54296875" customWidth="1"/>
    <col min="9541" max="9541" width="7.54296875" customWidth="1"/>
    <col min="9542" max="9542" width="0.81640625" customWidth="1"/>
    <col min="9543" max="9543" width="7.54296875" customWidth="1"/>
    <col min="9544" max="9544" width="10.54296875" customWidth="1"/>
    <col min="9545" max="9545" width="7.54296875" customWidth="1"/>
    <col min="9793" max="9793" width="21.453125" customWidth="1"/>
    <col min="9794" max="9794" width="12" customWidth="1"/>
    <col min="9795" max="9795" width="8.1796875" customWidth="1"/>
    <col min="9796" max="9796" width="10.54296875" customWidth="1"/>
    <col min="9797" max="9797" width="7.54296875" customWidth="1"/>
    <col min="9798" max="9798" width="0.81640625" customWidth="1"/>
    <col min="9799" max="9799" width="7.54296875" customWidth="1"/>
    <col min="9800" max="9800" width="10.54296875" customWidth="1"/>
    <col min="9801" max="9801" width="7.54296875" customWidth="1"/>
    <col min="10049" max="10049" width="21.453125" customWidth="1"/>
    <col min="10050" max="10050" width="12" customWidth="1"/>
    <col min="10051" max="10051" width="8.1796875" customWidth="1"/>
    <col min="10052" max="10052" width="10.54296875" customWidth="1"/>
    <col min="10053" max="10053" width="7.54296875" customWidth="1"/>
    <col min="10054" max="10054" width="0.81640625" customWidth="1"/>
    <col min="10055" max="10055" width="7.54296875" customWidth="1"/>
    <col min="10056" max="10056" width="10.54296875" customWidth="1"/>
    <col min="10057" max="10057" width="7.54296875" customWidth="1"/>
    <col min="10305" max="10305" width="21.453125" customWidth="1"/>
    <col min="10306" max="10306" width="12" customWidth="1"/>
    <col min="10307" max="10307" width="8.1796875" customWidth="1"/>
    <col min="10308" max="10308" width="10.54296875" customWidth="1"/>
    <col min="10309" max="10309" width="7.54296875" customWidth="1"/>
    <col min="10310" max="10310" width="0.81640625" customWidth="1"/>
    <col min="10311" max="10311" width="7.54296875" customWidth="1"/>
    <col min="10312" max="10312" width="10.54296875" customWidth="1"/>
    <col min="10313" max="10313" width="7.54296875" customWidth="1"/>
    <col min="10561" max="10561" width="21.453125" customWidth="1"/>
    <col min="10562" max="10562" width="12" customWidth="1"/>
    <col min="10563" max="10563" width="8.1796875" customWidth="1"/>
    <col min="10564" max="10564" width="10.54296875" customWidth="1"/>
    <col min="10565" max="10565" width="7.54296875" customWidth="1"/>
    <col min="10566" max="10566" width="0.81640625" customWidth="1"/>
    <col min="10567" max="10567" width="7.54296875" customWidth="1"/>
    <col min="10568" max="10568" width="10.54296875" customWidth="1"/>
    <col min="10569" max="10569" width="7.54296875" customWidth="1"/>
    <col min="10817" max="10817" width="21.453125" customWidth="1"/>
    <col min="10818" max="10818" width="12" customWidth="1"/>
    <col min="10819" max="10819" width="8.1796875" customWidth="1"/>
    <col min="10820" max="10820" width="10.54296875" customWidth="1"/>
    <col min="10821" max="10821" width="7.54296875" customWidth="1"/>
    <col min="10822" max="10822" width="0.81640625" customWidth="1"/>
    <col min="10823" max="10823" width="7.54296875" customWidth="1"/>
    <col min="10824" max="10824" width="10.54296875" customWidth="1"/>
    <col min="10825" max="10825" width="7.54296875" customWidth="1"/>
    <col min="11073" max="11073" width="21.453125" customWidth="1"/>
    <col min="11074" max="11074" width="12" customWidth="1"/>
    <col min="11075" max="11075" width="8.1796875" customWidth="1"/>
    <col min="11076" max="11076" width="10.54296875" customWidth="1"/>
    <col min="11077" max="11077" width="7.54296875" customWidth="1"/>
    <col min="11078" max="11078" width="0.81640625" customWidth="1"/>
    <col min="11079" max="11079" width="7.54296875" customWidth="1"/>
    <col min="11080" max="11080" width="10.54296875" customWidth="1"/>
    <col min="11081" max="11081" width="7.54296875" customWidth="1"/>
    <col min="11329" max="11329" width="21.453125" customWidth="1"/>
    <col min="11330" max="11330" width="12" customWidth="1"/>
    <col min="11331" max="11331" width="8.1796875" customWidth="1"/>
    <col min="11332" max="11332" width="10.54296875" customWidth="1"/>
    <col min="11333" max="11333" width="7.54296875" customWidth="1"/>
    <col min="11334" max="11334" width="0.81640625" customWidth="1"/>
    <col min="11335" max="11335" width="7.54296875" customWidth="1"/>
    <col min="11336" max="11336" width="10.54296875" customWidth="1"/>
    <col min="11337" max="11337" width="7.54296875" customWidth="1"/>
    <col min="11585" max="11585" width="21.453125" customWidth="1"/>
    <col min="11586" max="11586" width="12" customWidth="1"/>
    <col min="11587" max="11587" width="8.1796875" customWidth="1"/>
    <col min="11588" max="11588" width="10.54296875" customWidth="1"/>
    <col min="11589" max="11589" width="7.54296875" customWidth="1"/>
    <col min="11590" max="11590" width="0.81640625" customWidth="1"/>
    <col min="11591" max="11591" width="7.54296875" customWidth="1"/>
    <col min="11592" max="11592" width="10.54296875" customWidth="1"/>
    <col min="11593" max="11593" width="7.54296875" customWidth="1"/>
    <col min="11841" max="11841" width="21.453125" customWidth="1"/>
    <col min="11842" max="11842" width="12" customWidth="1"/>
    <col min="11843" max="11843" width="8.1796875" customWidth="1"/>
    <col min="11844" max="11844" width="10.54296875" customWidth="1"/>
    <col min="11845" max="11845" width="7.54296875" customWidth="1"/>
    <col min="11846" max="11846" width="0.81640625" customWidth="1"/>
    <col min="11847" max="11847" width="7.54296875" customWidth="1"/>
    <col min="11848" max="11848" width="10.54296875" customWidth="1"/>
    <col min="11849" max="11849" width="7.54296875" customWidth="1"/>
    <col min="12097" max="12097" width="21.453125" customWidth="1"/>
    <col min="12098" max="12098" width="12" customWidth="1"/>
    <col min="12099" max="12099" width="8.1796875" customWidth="1"/>
    <col min="12100" max="12100" width="10.54296875" customWidth="1"/>
    <col min="12101" max="12101" width="7.54296875" customWidth="1"/>
    <col min="12102" max="12102" width="0.81640625" customWidth="1"/>
    <col min="12103" max="12103" width="7.54296875" customWidth="1"/>
    <col min="12104" max="12104" width="10.54296875" customWidth="1"/>
    <col min="12105" max="12105" width="7.54296875" customWidth="1"/>
    <col min="12353" max="12353" width="21.453125" customWidth="1"/>
    <col min="12354" max="12354" width="12" customWidth="1"/>
    <col min="12355" max="12355" width="8.1796875" customWidth="1"/>
    <col min="12356" max="12356" width="10.54296875" customWidth="1"/>
    <col min="12357" max="12357" width="7.54296875" customWidth="1"/>
    <col min="12358" max="12358" width="0.81640625" customWidth="1"/>
    <col min="12359" max="12359" width="7.54296875" customWidth="1"/>
    <col min="12360" max="12360" width="10.54296875" customWidth="1"/>
    <col min="12361" max="12361" width="7.54296875" customWidth="1"/>
    <col min="12609" max="12609" width="21.453125" customWidth="1"/>
    <col min="12610" max="12610" width="12" customWidth="1"/>
    <col min="12611" max="12611" width="8.1796875" customWidth="1"/>
    <col min="12612" max="12612" width="10.54296875" customWidth="1"/>
    <col min="12613" max="12613" width="7.54296875" customWidth="1"/>
    <col min="12614" max="12614" width="0.81640625" customWidth="1"/>
    <col min="12615" max="12615" width="7.54296875" customWidth="1"/>
    <col min="12616" max="12616" width="10.54296875" customWidth="1"/>
    <col min="12617" max="12617" width="7.54296875" customWidth="1"/>
    <col min="12865" max="12865" width="21.453125" customWidth="1"/>
    <col min="12866" max="12866" width="12" customWidth="1"/>
    <col min="12867" max="12867" width="8.1796875" customWidth="1"/>
    <col min="12868" max="12868" width="10.54296875" customWidth="1"/>
    <col min="12869" max="12869" width="7.54296875" customWidth="1"/>
    <col min="12870" max="12870" width="0.81640625" customWidth="1"/>
    <col min="12871" max="12871" width="7.54296875" customWidth="1"/>
    <col min="12872" max="12872" width="10.54296875" customWidth="1"/>
    <col min="12873" max="12873" width="7.54296875" customWidth="1"/>
    <col min="13121" max="13121" width="21.453125" customWidth="1"/>
    <col min="13122" max="13122" width="12" customWidth="1"/>
    <col min="13123" max="13123" width="8.1796875" customWidth="1"/>
    <col min="13124" max="13124" width="10.54296875" customWidth="1"/>
    <col min="13125" max="13125" width="7.54296875" customWidth="1"/>
    <col min="13126" max="13126" width="0.81640625" customWidth="1"/>
    <col min="13127" max="13127" width="7.54296875" customWidth="1"/>
    <col min="13128" max="13128" width="10.54296875" customWidth="1"/>
    <col min="13129" max="13129" width="7.54296875" customWidth="1"/>
    <col min="13377" max="13377" width="21.453125" customWidth="1"/>
    <col min="13378" max="13378" width="12" customWidth="1"/>
    <col min="13379" max="13379" width="8.1796875" customWidth="1"/>
    <col min="13380" max="13380" width="10.54296875" customWidth="1"/>
    <col min="13381" max="13381" width="7.54296875" customWidth="1"/>
    <col min="13382" max="13382" width="0.81640625" customWidth="1"/>
    <col min="13383" max="13383" width="7.54296875" customWidth="1"/>
    <col min="13384" max="13384" width="10.54296875" customWidth="1"/>
    <col min="13385" max="13385" width="7.54296875" customWidth="1"/>
    <col min="13633" max="13633" width="21.453125" customWidth="1"/>
    <col min="13634" max="13634" width="12" customWidth="1"/>
    <col min="13635" max="13635" width="8.1796875" customWidth="1"/>
    <col min="13636" max="13636" width="10.54296875" customWidth="1"/>
    <col min="13637" max="13637" width="7.54296875" customWidth="1"/>
    <col min="13638" max="13638" width="0.81640625" customWidth="1"/>
    <col min="13639" max="13639" width="7.54296875" customWidth="1"/>
    <col min="13640" max="13640" width="10.54296875" customWidth="1"/>
    <col min="13641" max="13641" width="7.54296875" customWidth="1"/>
    <col min="13889" max="13889" width="21.453125" customWidth="1"/>
    <col min="13890" max="13890" width="12" customWidth="1"/>
    <col min="13891" max="13891" width="8.1796875" customWidth="1"/>
    <col min="13892" max="13892" width="10.54296875" customWidth="1"/>
    <col min="13893" max="13893" width="7.54296875" customWidth="1"/>
    <col min="13894" max="13894" width="0.81640625" customWidth="1"/>
    <col min="13895" max="13895" width="7.54296875" customWidth="1"/>
    <col min="13896" max="13896" width="10.54296875" customWidth="1"/>
    <col min="13897" max="13897" width="7.54296875" customWidth="1"/>
    <col min="14145" max="14145" width="21.453125" customWidth="1"/>
    <col min="14146" max="14146" width="12" customWidth="1"/>
    <col min="14147" max="14147" width="8.1796875" customWidth="1"/>
    <col min="14148" max="14148" width="10.54296875" customWidth="1"/>
    <col min="14149" max="14149" width="7.54296875" customWidth="1"/>
    <col min="14150" max="14150" width="0.81640625" customWidth="1"/>
    <col min="14151" max="14151" width="7.54296875" customWidth="1"/>
    <col min="14152" max="14152" width="10.54296875" customWidth="1"/>
    <col min="14153" max="14153" width="7.54296875" customWidth="1"/>
    <col min="14401" max="14401" width="21.453125" customWidth="1"/>
    <col min="14402" max="14402" width="12" customWidth="1"/>
    <col min="14403" max="14403" width="8.1796875" customWidth="1"/>
    <col min="14404" max="14404" width="10.54296875" customWidth="1"/>
    <col min="14405" max="14405" width="7.54296875" customWidth="1"/>
    <col min="14406" max="14406" width="0.81640625" customWidth="1"/>
    <col min="14407" max="14407" width="7.54296875" customWidth="1"/>
    <col min="14408" max="14408" width="10.54296875" customWidth="1"/>
    <col min="14409" max="14409" width="7.54296875" customWidth="1"/>
    <col min="14657" max="14657" width="21.453125" customWidth="1"/>
    <col min="14658" max="14658" width="12" customWidth="1"/>
    <col min="14659" max="14659" width="8.1796875" customWidth="1"/>
    <col min="14660" max="14660" width="10.54296875" customWidth="1"/>
    <col min="14661" max="14661" width="7.54296875" customWidth="1"/>
    <col min="14662" max="14662" width="0.81640625" customWidth="1"/>
    <col min="14663" max="14663" width="7.54296875" customWidth="1"/>
    <col min="14664" max="14664" width="10.54296875" customWidth="1"/>
    <col min="14665" max="14665" width="7.54296875" customWidth="1"/>
    <col min="14913" max="14913" width="21.453125" customWidth="1"/>
    <col min="14914" max="14914" width="12" customWidth="1"/>
    <col min="14915" max="14915" width="8.1796875" customWidth="1"/>
    <col min="14916" max="14916" width="10.54296875" customWidth="1"/>
    <col min="14917" max="14917" width="7.54296875" customWidth="1"/>
    <col min="14918" max="14918" width="0.81640625" customWidth="1"/>
    <col min="14919" max="14919" width="7.54296875" customWidth="1"/>
    <col min="14920" max="14920" width="10.54296875" customWidth="1"/>
    <col min="14921" max="14921" width="7.54296875" customWidth="1"/>
    <col min="15169" max="15169" width="21.453125" customWidth="1"/>
    <col min="15170" max="15170" width="12" customWidth="1"/>
    <col min="15171" max="15171" width="8.1796875" customWidth="1"/>
    <col min="15172" max="15172" width="10.54296875" customWidth="1"/>
    <col min="15173" max="15173" width="7.54296875" customWidth="1"/>
    <col min="15174" max="15174" width="0.81640625" customWidth="1"/>
    <col min="15175" max="15175" width="7.54296875" customWidth="1"/>
    <col min="15176" max="15176" width="10.54296875" customWidth="1"/>
    <col min="15177" max="15177" width="7.54296875" customWidth="1"/>
    <col min="15425" max="15425" width="21.453125" customWidth="1"/>
    <col min="15426" max="15426" width="12" customWidth="1"/>
    <col min="15427" max="15427" width="8.1796875" customWidth="1"/>
    <col min="15428" max="15428" width="10.54296875" customWidth="1"/>
    <col min="15429" max="15429" width="7.54296875" customWidth="1"/>
    <col min="15430" max="15430" width="0.81640625" customWidth="1"/>
    <col min="15431" max="15431" width="7.54296875" customWidth="1"/>
    <col min="15432" max="15432" width="10.54296875" customWidth="1"/>
    <col min="15433" max="15433" width="7.54296875" customWidth="1"/>
    <col min="15681" max="15681" width="21.453125" customWidth="1"/>
    <col min="15682" max="15682" width="12" customWidth="1"/>
    <col min="15683" max="15683" width="8.1796875" customWidth="1"/>
    <col min="15684" max="15684" width="10.54296875" customWidth="1"/>
    <col min="15685" max="15685" width="7.54296875" customWidth="1"/>
    <col min="15686" max="15686" width="0.81640625" customWidth="1"/>
    <col min="15687" max="15687" width="7.54296875" customWidth="1"/>
    <col min="15688" max="15688" width="10.54296875" customWidth="1"/>
    <col min="15689" max="15689" width="7.54296875" customWidth="1"/>
    <col min="15937" max="15937" width="21.453125" customWidth="1"/>
    <col min="15938" max="15938" width="12" customWidth="1"/>
    <col min="15939" max="15939" width="8.1796875" customWidth="1"/>
    <col min="15940" max="15940" width="10.54296875" customWidth="1"/>
    <col min="15941" max="15941" width="7.54296875" customWidth="1"/>
    <col min="15942" max="15942" width="0.81640625" customWidth="1"/>
    <col min="15943" max="15943" width="7.54296875" customWidth="1"/>
    <col min="15944" max="15944" width="10.54296875" customWidth="1"/>
    <col min="15945" max="15945" width="7.54296875" customWidth="1"/>
  </cols>
  <sheetData>
    <row r="1" spans="1:9" ht="12.75" customHeight="1"/>
    <row r="2" spans="1:9" ht="12.75" customHeight="1"/>
    <row r="3" spans="1:9" ht="12.75" customHeight="1">
      <c r="A3" s="180"/>
    </row>
    <row r="4" spans="1:9" s="159" customFormat="1" ht="12" customHeight="1">
      <c r="A4" s="158" t="s">
        <v>4</v>
      </c>
    </row>
    <row r="5" spans="1:9" s="159" customFormat="1" ht="12" customHeight="1">
      <c r="A5" s="158" t="s">
        <v>5</v>
      </c>
      <c r="B5" s="158"/>
    </row>
    <row r="6" spans="1:9" s="159" customFormat="1" ht="12" customHeight="1">
      <c r="A6" s="284" t="s">
        <v>3</v>
      </c>
    </row>
    <row r="7" spans="1:9" ht="6" customHeight="1">
      <c r="A7" s="285"/>
      <c r="B7" s="162"/>
      <c r="C7" s="162"/>
      <c r="D7" s="162"/>
      <c r="E7" s="162"/>
      <c r="F7" s="162"/>
      <c r="G7" s="162"/>
      <c r="H7" s="162"/>
      <c r="I7" s="162"/>
    </row>
    <row r="8" spans="1:9" s="49" customFormat="1" ht="10" customHeight="1">
      <c r="A8" s="609" t="s">
        <v>69</v>
      </c>
      <c r="B8" s="611" t="s">
        <v>53</v>
      </c>
      <c r="C8" s="611"/>
      <c r="D8" s="611"/>
      <c r="E8" s="611"/>
      <c r="F8" s="612"/>
      <c r="G8" s="611" t="s">
        <v>54</v>
      </c>
      <c r="H8" s="611"/>
      <c r="I8" s="611"/>
    </row>
    <row r="9" spans="1:9" s="49" customFormat="1" ht="20.149999999999999" customHeight="1">
      <c r="A9" s="610"/>
      <c r="B9" s="295" t="s">
        <v>70</v>
      </c>
      <c r="C9" s="295" t="s">
        <v>56</v>
      </c>
      <c r="D9" s="295" t="s">
        <v>57</v>
      </c>
      <c r="E9" s="281" t="s">
        <v>58</v>
      </c>
      <c r="F9" s="281"/>
      <c r="G9" s="295" t="s">
        <v>56</v>
      </c>
      <c r="H9" s="295" t="s">
        <v>57</v>
      </c>
      <c r="I9" s="281" t="s">
        <v>58</v>
      </c>
    </row>
    <row r="10" spans="1:9" s="49" customFormat="1" ht="3" customHeight="1">
      <c r="A10" s="121"/>
      <c r="B10" s="79"/>
      <c r="C10" s="79"/>
      <c r="D10" s="79"/>
      <c r="E10" s="79"/>
      <c r="F10" s="79"/>
      <c r="G10" s="79"/>
      <c r="H10" s="79"/>
      <c r="I10" s="79"/>
    </row>
    <row r="11" spans="1:9" s="49" customFormat="1" ht="10" customHeight="1">
      <c r="A11" s="121">
        <v>2020</v>
      </c>
      <c r="B11" s="169">
        <v>729120</v>
      </c>
      <c r="C11" s="291">
        <v>1884452</v>
      </c>
      <c r="D11" s="289">
        <v>19176</v>
      </c>
      <c r="E11" s="169">
        <v>2632748</v>
      </c>
      <c r="F11" s="169"/>
      <c r="G11" s="169">
        <v>20812</v>
      </c>
      <c r="H11" s="289">
        <v>72849</v>
      </c>
      <c r="I11" s="169">
        <v>93661</v>
      </c>
    </row>
    <row r="12" spans="1:9" s="49" customFormat="1" ht="10" customHeight="1">
      <c r="A12" s="121">
        <v>2021</v>
      </c>
      <c r="B12" s="169">
        <v>834452</v>
      </c>
      <c r="C12" s="291">
        <v>2119486</v>
      </c>
      <c r="D12" s="289">
        <v>21896</v>
      </c>
      <c r="E12" s="169">
        <v>2975834</v>
      </c>
      <c r="F12" s="169"/>
      <c r="G12" s="169">
        <v>21042</v>
      </c>
      <c r="H12" s="289">
        <v>80632</v>
      </c>
      <c r="I12" s="169">
        <v>101674</v>
      </c>
    </row>
    <row r="13" spans="1:9" s="49" customFormat="1" ht="10" customHeight="1">
      <c r="A13" s="121">
        <v>2022</v>
      </c>
      <c r="B13" s="169">
        <v>783784.99999999988</v>
      </c>
      <c r="C13" s="169">
        <v>2222494</v>
      </c>
      <c r="D13" s="289">
        <v>20235</v>
      </c>
      <c r="E13" s="169">
        <v>3026514</v>
      </c>
      <c r="F13" s="169"/>
      <c r="G13" s="169">
        <v>21904</v>
      </c>
      <c r="H13" s="289">
        <v>76404</v>
      </c>
      <c r="I13" s="169">
        <v>98308</v>
      </c>
    </row>
    <row r="14" spans="1:9" s="49" customFormat="1" ht="10" customHeight="1">
      <c r="A14" s="121">
        <v>2023</v>
      </c>
      <c r="B14" s="169">
        <v>849564</v>
      </c>
      <c r="C14" s="169">
        <v>2078807</v>
      </c>
      <c r="D14" s="289">
        <v>20238</v>
      </c>
      <c r="E14" s="169">
        <f>+B14+C14+D14</f>
        <v>2948609</v>
      </c>
      <c r="F14" s="169"/>
      <c r="G14" s="169">
        <v>21100</v>
      </c>
      <c r="H14" s="289">
        <v>73712</v>
      </c>
      <c r="I14" s="169">
        <f>+G14+H14</f>
        <v>94812</v>
      </c>
    </row>
    <row r="15" spans="1:9" s="49" customFormat="1" ht="10" customHeight="1">
      <c r="A15" s="121">
        <v>2024</v>
      </c>
      <c r="B15" s="169">
        <v>975479</v>
      </c>
      <c r="C15" s="169">
        <v>2222872</v>
      </c>
      <c r="D15" s="169">
        <v>21645</v>
      </c>
      <c r="E15" s="169">
        <v>3219996</v>
      </c>
      <c r="F15" s="169"/>
      <c r="G15" s="169">
        <v>18681</v>
      </c>
      <c r="H15" s="169">
        <v>71466</v>
      </c>
      <c r="I15" s="169">
        <v>90147</v>
      </c>
    </row>
    <row r="16" spans="1:9" s="49" customFormat="1" ht="10" customHeight="1"/>
    <row r="17" spans="1:9" s="49" customFormat="1" ht="10" customHeight="1">
      <c r="A17" s="121"/>
      <c r="B17" s="613" t="s">
        <v>71</v>
      </c>
      <c r="C17" s="614"/>
      <c r="D17" s="614"/>
      <c r="E17" s="614"/>
      <c r="F17" s="614"/>
      <c r="G17" s="614"/>
      <c r="H17" s="614"/>
      <c r="I17" s="614"/>
    </row>
    <row r="18" spans="1:9" s="49" customFormat="1" ht="4.5" customHeight="1">
      <c r="A18" s="79"/>
      <c r="B18" s="79"/>
      <c r="C18" s="79"/>
      <c r="D18" s="79"/>
      <c r="E18" s="79"/>
      <c r="F18" s="79"/>
      <c r="G18" s="79"/>
      <c r="H18" s="79"/>
      <c r="I18" s="79"/>
    </row>
    <row r="19" spans="1:9" s="49" customFormat="1" ht="10" customHeight="1">
      <c r="A19" s="79"/>
      <c r="B19" s="614" t="s">
        <v>60</v>
      </c>
      <c r="C19" s="614"/>
      <c r="D19" s="614"/>
      <c r="E19" s="614"/>
      <c r="F19" s="614"/>
      <c r="G19" s="614"/>
      <c r="H19" s="614"/>
      <c r="I19" s="614"/>
    </row>
    <row r="20" spans="1:9" s="49" customFormat="1" ht="4.5" customHeight="1">
      <c r="A20" s="79"/>
      <c r="B20" s="79"/>
      <c r="C20" s="79"/>
      <c r="D20" s="79"/>
      <c r="E20" s="79"/>
      <c r="F20" s="79"/>
      <c r="G20" s="79"/>
      <c r="H20" s="79"/>
      <c r="I20" s="79"/>
    </row>
    <row r="21" spans="1:9" s="49" customFormat="1" ht="10" customHeight="1">
      <c r="A21" s="79" t="s">
        <v>72</v>
      </c>
      <c r="B21" s="191">
        <v>54631</v>
      </c>
      <c r="C21" s="191">
        <v>152753</v>
      </c>
      <c r="D21" s="169">
        <v>233</v>
      </c>
      <c r="E21" s="169">
        <f>B21+C21+D21</f>
        <v>207617</v>
      </c>
      <c r="F21" s="296"/>
      <c r="G21" s="297">
        <v>674</v>
      </c>
      <c r="H21" s="191">
        <v>2358</v>
      </c>
      <c r="I21" s="169">
        <v>3032</v>
      </c>
    </row>
    <row r="22" spans="1:9" s="49" customFormat="1" ht="10" customHeight="1">
      <c r="A22" s="79" t="s">
        <v>73</v>
      </c>
      <c r="B22" s="191">
        <v>104636</v>
      </c>
      <c r="C22" s="191">
        <v>191041</v>
      </c>
      <c r="D22" s="169">
        <v>947</v>
      </c>
      <c r="E22" s="169">
        <f t="shared" ref="E22:E46" si="0">B22+C22+D22</f>
        <v>296624</v>
      </c>
      <c r="F22" s="296"/>
      <c r="G22" s="297">
        <v>763</v>
      </c>
      <c r="H22" s="191">
        <v>5285</v>
      </c>
      <c r="I22" s="169">
        <v>6048</v>
      </c>
    </row>
    <row r="23" spans="1:9" s="49" customFormat="1" ht="10" customHeight="1">
      <c r="A23" s="79" t="s">
        <v>74</v>
      </c>
      <c r="B23" s="191">
        <v>29441</v>
      </c>
      <c r="C23" s="191">
        <v>95111</v>
      </c>
      <c r="D23" s="169">
        <v>346</v>
      </c>
      <c r="E23" s="169">
        <f t="shared" si="0"/>
        <v>124898</v>
      </c>
      <c r="F23" s="296"/>
      <c r="G23" s="297">
        <v>194</v>
      </c>
      <c r="H23" s="191">
        <v>1799</v>
      </c>
      <c r="I23" s="169">
        <v>1993</v>
      </c>
    </row>
    <row r="24" spans="1:9" s="133" customFormat="1" ht="10" customHeight="1">
      <c r="A24" s="79" t="s">
        <v>75</v>
      </c>
      <c r="B24" s="191">
        <v>8869</v>
      </c>
      <c r="C24" s="191">
        <v>25203</v>
      </c>
      <c r="D24" s="169">
        <v>105</v>
      </c>
      <c r="E24" s="169">
        <f t="shared" si="0"/>
        <v>34177</v>
      </c>
      <c r="F24" s="296"/>
      <c r="G24" s="297">
        <v>234</v>
      </c>
      <c r="H24" s="191">
        <v>626</v>
      </c>
      <c r="I24" s="169">
        <v>860</v>
      </c>
    </row>
    <row r="25" spans="1:9" s="49" customFormat="1" ht="10" customHeight="1">
      <c r="A25" s="79" t="s">
        <v>76</v>
      </c>
      <c r="B25" s="191">
        <v>43502</v>
      </c>
      <c r="C25" s="191">
        <v>149852</v>
      </c>
      <c r="D25" s="169">
        <v>716</v>
      </c>
      <c r="E25" s="169">
        <f t="shared" si="0"/>
        <v>194070</v>
      </c>
      <c r="F25" s="296"/>
      <c r="G25" s="297">
        <v>487</v>
      </c>
      <c r="H25" s="191">
        <v>2897</v>
      </c>
      <c r="I25" s="169">
        <v>3384</v>
      </c>
    </row>
    <row r="26" spans="1:9" s="49" customFormat="1" ht="10" customHeight="1">
      <c r="A26" s="79" t="s">
        <v>77</v>
      </c>
      <c r="B26" s="191">
        <v>11872</v>
      </c>
      <c r="C26" s="191">
        <v>52943</v>
      </c>
      <c r="D26" s="169">
        <v>155</v>
      </c>
      <c r="E26" s="169">
        <f t="shared" si="0"/>
        <v>64970</v>
      </c>
      <c r="F26" s="296"/>
      <c r="G26" s="297">
        <v>103</v>
      </c>
      <c r="H26" s="191">
        <v>647</v>
      </c>
      <c r="I26" s="169">
        <v>750</v>
      </c>
    </row>
    <row r="27" spans="1:9" s="49" customFormat="1" ht="10" customHeight="1">
      <c r="A27" s="79" t="s">
        <v>78</v>
      </c>
      <c r="B27" s="191">
        <v>23305</v>
      </c>
      <c r="C27" s="191">
        <v>61636</v>
      </c>
      <c r="D27" s="169">
        <v>243</v>
      </c>
      <c r="E27" s="169">
        <f t="shared" si="0"/>
        <v>85184</v>
      </c>
      <c r="F27" s="296"/>
      <c r="G27" s="297">
        <v>310</v>
      </c>
      <c r="H27" s="191">
        <v>1651</v>
      </c>
      <c r="I27" s="169">
        <v>1961</v>
      </c>
    </row>
    <row r="28" spans="1:9" s="49" customFormat="1" ht="10" customHeight="1">
      <c r="A28" s="79" t="s">
        <v>79</v>
      </c>
      <c r="B28" s="191">
        <v>53590</v>
      </c>
      <c r="C28" s="191">
        <v>136488</v>
      </c>
      <c r="D28" s="169">
        <v>1023</v>
      </c>
      <c r="E28" s="169">
        <f t="shared" si="0"/>
        <v>191101</v>
      </c>
      <c r="F28" s="296"/>
      <c r="G28" s="297">
        <v>597</v>
      </c>
      <c r="H28" s="191">
        <v>2982</v>
      </c>
      <c r="I28" s="169">
        <v>3579</v>
      </c>
    </row>
    <row r="29" spans="1:9" s="49" customFormat="1" ht="10" customHeight="1">
      <c r="A29" s="79" t="s">
        <v>80</v>
      </c>
      <c r="B29" s="191">
        <v>48407</v>
      </c>
      <c r="C29" s="191">
        <v>124398</v>
      </c>
      <c r="D29" s="169">
        <v>680</v>
      </c>
      <c r="E29" s="169">
        <f t="shared" si="0"/>
        <v>173485</v>
      </c>
      <c r="F29" s="296"/>
      <c r="G29" s="297">
        <v>610</v>
      </c>
      <c r="H29" s="191">
        <v>3520</v>
      </c>
      <c r="I29" s="169">
        <v>4130</v>
      </c>
    </row>
    <row r="30" spans="1:9" s="49" customFormat="1" ht="10" customHeight="1">
      <c r="A30" s="79" t="s">
        <v>81</v>
      </c>
      <c r="B30" s="191">
        <v>13029</v>
      </c>
      <c r="C30" s="191">
        <v>33915</v>
      </c>
      <c r="D30" s="169">
        <v>530</v>
      </c>
      <c r="E30" s="169">
        <f t="shared" si="0"/>
        <v>47474</v>
      </c>
      <c r="F30" s="296"/>
      <c r="G30" s="297">
        <v>139</v>
      </c>
      <c r="H30" s="191">
        <v>1072</v>
      </c>
      <c r="I30" s="169">
        <v>1211</v>
      </c>
    </row>
    <row r="31" spans="1:9" s="49" customFormat="1" ht="10" customHeight="1">
      <c r="A31" s="79" t="s">
        <v>82</v>
      </c>
      <c r="B31" s="191">
        <v>16656</v>
      </c>
      <c r="C31" s="191">
        <v>52770</v>
      </c>
      <c r="D31" s="169">
        <v>840</v>
      </c>
      <c r="E31" s="169">
        <f t="shared" si="0"/>
        <v>70266</v>
      </c>
      <c r="F31" s="296"/>
      <c r="G31" s="297">
        <v>237</v>
      </c>
      <c r="H31" s="191">
        <v>1787</v>
      </c>
      <c r="I31" s="169">
        <v>2024</v>
      </c>
    </row>
    <row r="32" spans="1:9" s="49" customFormat="1" ht="10" customHeight="1">
      <c r="A32" s="79" t="s">
        <v>83</v>
      </c>
      <c r="B32" s="191">
        <v>121838</v>
      </c>
      <c r="C32" s="191">
        <v>256002</v>
      </c>
      <c r="D32" s="169">
        <v>1651</v>
      </c>
      <c r="E32" s="169">
        <f t="shared" si="0"/>
        <v>379491</v>
      </c>
      <c r="F32" s="296"/>
      <c r="G32" s="297">
        <v>2014</v>
      </c>
      <c r="H32" s="191">
        <v>10818</v>
      </c>
      <c r="I32" s="169">
        <v>12832</v>
      </c>
    </row>
    <row r="33" spans="1:9" s="49" customFormat="1" ht="10" customHeight="1">
      <c r="A33" s="79" t="s">
        <v>84</v>
      </c>
      <c r="B33" s="191">
        <v>19780</v>
      </c>
      <c r="C33" s="191">
        <v>50906</v>
      </c>
      <c r="D33" s="169">
        <v>474</v>
      </c>
      <c r="E33" s="169">
        <f t="shared" si="0"/>
        <v>71160</v>
      </c>
      <c r="F33" s="296"/>
      <c r="G33" s="297">
        <v>336</v>
      </c>
      <c r="H33" s="191">
        <v>1793</v>
      </c>
      <c r="I33" s="169">
        <v>2129</v>
      </c>
    </row>
    <row r="34" spans="1:9" s="49" customFormat="1" ht="10" customHeight="1">
      <c r="A34" s="79" t="s">
        <v>85</v>
      </c>
      <c r="B34" s="191">
        <v>5545</v>
      </c>
      <c r="C34" s="191">
        <v>13239</v>
      </c>
      <c r="D34" s="169">
        <v>243</v>
      </c>
      <c r="E34" s="169">
        <f t="shared" si="0"/>
        <v>19027</v>
      </c>
      <c r="F34" s="296"/>
      <c r="G34" s="297">
        <v>110</v>
      </c>
      <c r="H34" s="191">
        <v>659</v>
      </c>
      <c r="I34" s="169">
        <v>769</v>
      </c>
    </row>
    <row r="35" spans="1:9" s="49" customFormat="1" ht="10" customHeight="1">
      <c r="A35" s="79" t="s">
        <v>86</v>
      </c>
      <c r="B35" s="191">
        <v>164623</v>
      </c>
      <c r="C35" s="191">
        <v>225363</v>
      </c>
      <c r="D35" s="169">
        <v>3992</v>
      </c>
      <c r="E35" s="169">
        <f t="shared" si="0"/>
        <v>393978</v>
      </c>
      <c r="F35" s="296"/>
      <c r="G35" s="297">
        <v>5668</v>
      </c>
      <c r="H35" s="191">
        <v>9379</v>
      </c>
      <c r="I35" s="169">
        <v>15047</v>
      </c>
    </row>
    <row r="36" spans="1:9" s="49" customFormat="1" ht="10" customHeight="1">
      <c r="A36" s="79" t="s">
        <v>87</v>
      </c>
      <c r="B36" s="191">
        <v>28759</v>
      </c>
      <c r="C36" s="191">
        <v>44971</v>
      </c>
      <c r="D36" s="169">
        <v>1101</v>
      </c>
      <c r="E36" s="169">
        <f t="shared" si="0"/>
        <v>74831</v>
      </c>
      <c r="F36" s="296"/>
      <c r="G36" s="297">
        <v>1140</v>
      </c>
      <c r="H36" s="191">
        <v>2150</v>
      </c>
      <c r="I36" s="169">
        <v>3290</v>
      </c>
    </row>
    <row r="37" spans="1:9" s="49" customFormat="1" ht="10" customHeight="1">
      <c r="A37" s="79" t="s">
        <v>88</v>
      </c>
      <c r="B37" s="191">
        <v>35642</v>
      </c>
      <c r="C37" s="191">
        <v>85302</v>
      </c>
      <c r="D37" s="169">
        <v>1488</v>
      </c>
      <c r="E37" s="169">
        <f t="shared" si="0"/>
        <v>122432</v>
      </c>
      <c r="F37" s="296"/>
      <c r="G37" s="297">
        <v>600</v>
      </c>
      <c r="H37" s="191">
        <v>3010</v>
      </c>
      <c r="I37" s="169">
        <v>3610</v>
      </c>
    </row>
    <row r="38" spans="1:9" s="49" customFormat="1" ht="10" customHeight="1">
      <c r="A38" s="79" t="s">
        <v>89</v>
      </c>
      <c r="B38" s="191">
        <v>37530</v>
      </c>
      <c r="C38" s="191">
        <v>76140</v>
      </c>
      <c r="D38" s="169">
        <v>611</v>
      </c>
      <c r="E38" s="169">
        <f t="shared" si="0"/>
        <v>114281</v>
      </c>
      <c r="F38" s="296"/>
      <c r="G38" s="297">
        <v>745</v>
      </c>
      <c r="H38" s="191">
        <v>2806</v>
      </c>
      <c r="I38" s="169">
        <v>3551</v>
      </c>
    </row>
    <row r="39" spans="1:9" s="49" customFormat="1" ht="10" customHeight="1">
      <c r="A39" s="79" t="s">
        <v>90</v>
      </c>
      <c r="B39" s="191">
        <v>10909</v>
      </c>
      <c r="C39" s="191">
        <v>25762</v>
      </c>
      <c r="D39" s="169">
        <v>602</v>
      </c>
      <c r="E39" s="169">
        <f t="shared" si="0"/>
        <v>37273</v>
      </c>
      <c r="F39" s="296"/>
      <c r="G39" s="297">
        <v>322</v>
      </c>
      <c r="H39" s="191">
        <v>921</v>
      </c>
      <c r="I39" s="169">
        <v>1243</v>
      </c>
    </row>
    <row r="40" spans="1:9" s="49" customFormat="1" ht="10" customHeight="1">
      <c r="A40" s="79" t="s">
        <v>91</v>
      </c>
      <c r="B40" s="191">
        <v>32657</v>
      </c>
      <c r="C40" s="191">
        <v>69361</v>
      </c>
      <c r="D40" s="169">
        <v>1537</v>
      </c>
      <c r="E40" s="169">
        <f t="shared" si="0"/>
        <v>103555</v>
      </c>
      <c r="F40" s="296"/>
      <c r="G40" s="297">
        <v>1379</v>
      </c>
      <c r="H40" s="191">
        <v>3212</v>
      </c>
      <c r="I40" s="169">
        <v>4591</v>
      </c>
    </row>
    <row r="41" spans="1:9" s="49" customFormat="1" ht="10" customHeight="1">
      <c r="A41" s="79" t="s">
        <v>92</v>
      </c>
      <c r="B41" s="191">
        <v>10043</v>
      </c>
      <c r="C41" s="191">
        <v>31148</v>
      </c>
      <c r="D41" s="169">
        <v>713</v>
      </c>
      <c r="E41" s="169">
        <f t="shared" si="0"/>
        <v>41904</v>
      </c>
      <c r="F41" s="296"/>
      <c r="G41" s="297">
        <v>369</v>
      </c>
      <c r="H41" s="191">
        <v>1334</v>
      </c>
      <c r="I41" s="169">
        <v>1703</v>
      </c>
    </row>
    <row r="42" spans="1:9" s="49" customFormat="1" ht="10" customHeight="1">
      <c r="A42" s="79" t="s">
        <v>93</v>
      </c>
      <c r="B42" s="191">
        <v>33719</v>
      </c>
      <c r="C42" s="191">
        <v>90357</v>
      </c>
      <c r="D42" s="169">
        <v>489</v>
      </c>
      <c r="E42" s="169">
        <f t="shared" si="0"/>
        <v>124565</v>
      </c>
      <c r="F42" s="296"/>
      <c r="G42" s="297">
        <v>571</v>
      </c>
      <c r="H42" s="191">
        <v>3901</v>
      </c>
      <c r="I42" s="169">
        <v>4472</v>
      </c>
    </row>
    <row r="43" spans="1:9" s="49" customFormat="1" ht="10" customHeight="1">
      <c r="A43" s="79" t="s">
        <v>94</v>
      </c>
      <c r="B43" s="191">
        <v>9738</v>
      </c>
      <c r="C43" s="191">
        <v>33505</v>
      </c>
      <c r="D43" s="169">
        <v>1305</v>
      </c>
      <c r="E43" s="169">
        <f t="shared" si="0"/>
        <v>44548</v>
      </c>
      <c r="F43" s="296"/>
      <c r="G43" s="297">
        <v>158</v>
      </c>
      <c r="H43" s="191">
        <v>1797</v>
      </c>
      <c r="I43" s="169">
        <v>1955</v>
      </c>
    </row>
    <row r="44" spans="1:9" s="49" customFormat="1" ht="10" customHeight="1">
      <c r="A44" s="79" t="s">
        <v>95</v>
      </c>
      <c r="B44" s="191">
        <v>6245</v>
      </c>
      <c r="C44" s="191">
        <v>18978</v>
      </c>
      <c r="D44" s="169">
        <v>118</v>
      </c>
      <c r="E44" s="169">
        <f t="shared" si="0"/>
        <v>25341</v>
      </c>
      <c r="F44" s="296"/>
      <c r="G44" s="297">
        <v>96</v>
      </c>
      <c r="H44" s="191">
        <v>701</v>
      </c>
      <c r="I44" s="169">
        <v>797</v>
      </c>
    </row>
    <row r="45" spans="1:9" s="49" customFormat="1" ht="10" customHeight="1">
      <c r="A45" s="79" t="s">
        <v>96</v>
      </c>
      <c r="B45" s="191">
        <v>34152</v>
      </c>
      <c r="C45" s="191">
        <v>72013</v>
      </c>
      <c r="D45" s="169">
        <v>967</v>
      </c>
      <c r="E45" s="169">
        <f t="shared" si="0"/>
        <v>107132</v>
      </c>
      <c r="F45" s="296"/>
      <c r="G45" s="297">
        <v>458</v>
      </c>
      <c r="H45" s="191">
        <v>2863</v>
      </c>
      <c r="I45" s="169">
        <v>3321</v>
      </c>
    </row>
    <row r="46" spans="1:9" s="49" customFormat="1" ht="10" customHeight="1">
      <c r="A46" s="79" t="s">
        <v>97</v>
      </c>
      <c r="B46" s="191">
        <v>16361</v>
      </c>
      <c r="C46" s="191">
        <v>53715</v>
      </c>
      <c r="D46" s="169">
        <v>536</v>
      </c>
      <c r="E46" s="169">
        <f t="shared" si="0"/>
        <v>70612</v>
      </c>
      <c r="F46" s="296"/>
      <c r="G46" s="297">
        <v>367</v>
      </c>
      <c r="H46" s="191">
        <v>1498</v>
      </c>
      <c r="I46" s="169">
        <v>1865</v>
      </c>
    </row>
    <row r="47" spans="1:9" s="49" customFormat="1" ht="10" customHeight="1">
      <c r="A47" s="231" t="s">
        <v>98</v>
      </c>
      <c r="B47" s="192">
        <f>SUM(B21:B46)</f>
        <v>975479</v>
      </c>
      <c r="C47" s="192">
        <f t="shared" ref="C47:E47" si="1">SUM(C21:C46)</f>
        <v>2222872</v>
      </c>
      <c r="D47" s="192">
        <f t="shared" si="1"/>
        <v>21645</v>
      </c>
      <c r="E47" s="192">
        <f t="shared" si="1"/>
        <v>3219996</v>
      </c>
      <c r="F47" s="190"/>
      <c r="G47" s="192">
        <f t="shared" ref="G47:I47" si="2">SUM(G21:G46)</f>
        <v>18681</v>
      </c>
      <c r="H47" s="192">
        <f t="shared" si="2"/>
        <v>71466</v>
      </c>
      <c r="I47" s="192">
        <f t="shared" si="2"/>
        <v>90147</v>
      </c>
    </row>
    <row r="48" spans="1:9" s="49" customFormat="1" ht="3" customHeight="1">
      <c r="A48" s="193"/>
      <c r="B48" s="193"/>
      <c r="C48" s="193"/>
      <c r="D48" s="193"/>
      <c r="E48" s="193"/>
      <c r="F48" s="193"/>
      <c r="G48" s="193"/>
      <c r="H48" s="193"/>
      <c r="I48" s="193"/>
    </row>
    <row r="49" spans="1:9" s="49" customFormat="1" ht="3" customHeight="1">
      <c r="A49" s="190"/>
      <c r="B49" s="190"/>
      <c r="C49" s="190"/>
      <c r="D49" s="190"/>
      <c r="E49" s="190"/>
      <c r="F49" s="190"/>
      <c r="G49" s="190"/>
      <c r="H49" s="190"/>
      <c r="I49" s="190"/>
    </row>
    <row r="50" spans="1:9" s="49" customFormat="1" ht="18" customHeight="1">
      <c r="A50" s="603" t="s">
        <v>65</v>
      </c>
      <c r="B50" s="603"/>
      <c r="C50" s="603"/>
      <c r="D50" s="603"/>
      <c r="E50" s="603"/>
      <c r="F50" s="603"/>
      <c r="G50" s="603"/>
      <c r="H50" s="603"/>
      <c r="I50" s="603"/>
    </row>
    <row r="51" spans="1:9" s="49" customFormat="1" ht="18" customHeight="1">
      <c r="A51" s="602" t="s">
        <v>66</v>
      </c>
      <c r="B51" s="602"/>
      <c r="C51" s="602"/>
      <c r="D51" s="602"/>
      <c r="E51" s="602"/>
      <c r="F51" s="602"/>
      <c r="G51" s="602"/>
      <c r="H51" s="602"/>
      <c r="I51" s="602"/>
    </row>
    <row r="52" spans="1:9" s="49" customFormat="1" ht="12" customHeight="1">
      <c r="A52" s="602" t="s">
        <v>99</v>
      </c>
      <c r="B52" s="602"/>
      <c r="C52" s="602"/>
      <c r="D52" s="602"/>
      <c r="E52" s="602"/>
      <c r="F52" s="602"/>
      <c r="G52" s="602"/>
      <c r="H52" s="602"/>
      <c r="I52" s="602"/>
    </row>
    <row r="53" spans="1:9" s="49" customFormat="1" ht="36" customHeight="1">
      <c r="A53" s="608" t="s">
        <v>68</v>
      </c>
      <c r="B53" s="605"/>
      <c r="C53" s="605"/>
      <c r="D53" s="605"/>
      <c r="E53" s="605"/>
      <c r="F53" s="605"/>
      <c r="G53" s="605"/>
      <c r="H53" s="605"/>
      <c r="I53" s="605"/>
    </row>
    <row r="54" spans="1:9" s="49" customFormat="1" ht="15" customHeight="1"/>
    <row r="55" spans="1:9" s="49" customFormat="1" ht="15" customHeight="1">
      <c r="A55" s="79"/>
      <c r="B55" s="191"/>
      <c r="C55" s="191"/>
      <c r="D55" s="297"/>
      <c r="E55" s="169"/>
      <c r="F55" s="296"/>
      <c r="G55" s="297"/>
      <c r="H55" s="191"/>
      <c r="I55" s="169"/>
    </row>
    <row r="56" spans="1:9" s="49" customFormat="1" ht="15" customHeight="1">
      <c r="A56" s="79"/>
      <c r="B56" s="191"/>
      <c r="C56" s="191"/>
      <c r="D56" s="297"/>
      <c r="E56" s="169"/>
      <c r="F56" s="296"/>
      <c r="G56" s="297"/>
      <c r="H56" s="191"/>
      <c r="I56" s="169"/>
    </row>
    <row r="57" spans="1:9" s="49" customFormat="1" ht="15" customHeight="1">
      <c r="A57" s="79"/>
      <c r="B57" s="191"/>
      <c r="C57" s="191"/>
      <c r="D57" s="297"/>
      <c r="E57" s="169"/>
      <c r="F57" s="296"/>
      <c r="G57" s="297"/>
      <c r="H57" s="191"/>
      <c r="I57" s="169"/>
    </row>
    <row r="58" spans="1:9" s="49" customFormat="1" ht="15" customHeight="1">
      <c r="A58" s="79"/>
      <c r="B58" s="191"/>
      <c r="C58" s="191"/>
      <c r="D58" s="297"/>
      <c r="E58" s="169"/>
      <c r="F58" s="296"/>
      <c r="G58" s="297"/>
      <c r="H58" s="191"/>
      <c r="I58" s="169"/>
    </row>
    <row r="59" spans="1:9" s="49" customFormat="1" ht="15" customHeight="1">
      <c r="A59" s="79"/>
      <c r="B59" s="191"/>
      <c r="C59" s="191"/>
      <c r="D59" s="297"/>
      <c r="E59" s="169"/>
      <c r="F59" s="296"/>
      <c r="G59" s="297"/>
      <c r="H59" s="191"/>
      <c r="I59" s="169"/>
    </row>
    <row r="60" spans="1:9" s="49" customFormat="1" ht="15" customHeight="1">
      <c r="A60" s="79"/>
      <c r="B60" s="191"/>
      <c r="C60" s="191"/>
      <c r="D60" s="297"/>
      <c r="E60" s="169"/>
      <c r="F60" s="296"/>
      <c r="G60" s="297"/>
      <c r="H60" s="191"/>
      <c r="I60" s="169"/>
    </row>
    <row r="61" spans="1:9" s="49" customFormat="1" ht="15" customHeight="1">
      <c r="A61" s="79"/>
      <c r="B61" s="191"/>
      <c r="C61" s="191"/>
      <c r="D61" s="297"/>
      <c r="E61" s="169"/>
      <c r="F61" s="296"/>
      <c r="G61" s="297"/>
      <c r="H61" s="191"/>
      <c r="I61" s="169"/>
    </row>
    <row r="62" spans="1:9" s="49" customFormat="1" ht="15" customHeight="1">
      <c r="A62" s="79"/>
      <c r="B62" s="191"/>
      <c r="C62" s="191"/>
      <c r="D62" s="297"/>
      <c r="E62" s="169"/>
      <c r="F62" s="296"/>
      <c r="G62" s="297"/>
      <c r="H62" s="191"/>
      <c r="I62" s="169"/>
    </row>
    <row r="63" spans="1:9" s="49" customFormat="1" ht="15" customHeight="1">
      <c r="A63" s="79"/>
      <c r="B63" s="191"/>
      <c r="C63" s="191"/>
      <c r="D63" s="297"/>
      <c r="E63" s="169"/>
      <c r="F63" s="296"/>
      <c r="G63" s="297"/>
      <c r="H63" s="191"/>
      <c r="I63" s="169"/>
    </row>
    <row r="64" spans="1:9" s="49" customFormat="1" ht="15" customHeight="1">
      <c r="A64" s="79"/>
      <c r="B64" s="191"/>
      <c r="C64" s="191"/>
      <c r="D64" s="297"/>
      <c r="E64" s="169"/>
      <c r="F64" s="296"/>
      <c r="G64" s="297"/>
      <c r="H64" s="191"/>
      <c r="I64" s="169"/>
    </row>
    <row r="65" spans="1:9" s="49" customFormat="1" ht="15" customHeight="1">
      <c r="A65" s="79"/>
      <c r="B65" s="191"/>
      <c r="C65" s="191"/>
      <c r="D65" s="297"/>
      <c r="E65" s="169"/>
      <c r="F65" s="296"/>
      <c r="G65" s="297"/>
      <c r="H65" s="191"/>
      <c r="I65" s="169"/>
    </row>
    <row r="66" spans="1:9" s="49" customFormat="1" ht="15" customHeight="1">
      <c r="A66" s="79"/>
      <c r="B66" s="191"/>
      <c r="C66" s="191"/>
      <c r="D66" s="297"/>
      <c r="E66" s="169"/>
      <c r="F66" s="296"/>
      <c r="G66" s="297"/>
      <c r="H66" s="191"/>
      <c r="I66" s="169"/>
    </row>
    <row r="67" spans="1:9" s="49" customFormat="1" ht="15" customHeight="1">
      <c r="A67" s="79"/>
      <c r="B67" s="191"/>
      <c r="C67" s="191"/>
      <c r="D67" s="297"/>
      <c r="E67" s="169"/>
      <c r="F67" s="296"/>
      <c r="G67" s="297"/>
      <c r="H67" s="191"/>
      <c r="I67" s="169"/>
    </row>
    <row r="68" spans="1:9" s="49" customFormat="1" ht="15" customHeight="1">
      <c r="A68" s="79"/>
      <c r="B68" s="191"/>
      <c r="C68" s="191"/>
      <c r="D68" s="297"/>
      <c r="E68" s="169"/>
      <c r="F68" s="296"/>
      <c r="G68" s="297"/>
      <c r="H68" s="191"/>
      <c r="I68" s="169"/>
    </row>
    <row r="69" spans="1:9" s="49" customFormat="1" ht="15" customHeight="1">
      <c r="A69" s="79"/>
      <c r="B69" s="191"/>
      <c r="C69" s="191"/>
      <c r="D69" s="297"/>
      <c r="E69" s="169"/>
      <c r="F69" s="296"/>
      <c r="G69" s="297"/>
      <c r="H69" s="191"/>
      <c r="I69" s="169"/>
    </row>
    <row r="70" spans="1:9" s="49" customFormat="1" ht="15" customHeight="1">
      <c r="A70" s="79"/>
      <c r="B70" s="191"/>
      <c r="C70" s="191"/>
      <c r="D70" s="297"/>
      <c r="E70" s="169"/>
      <c r="F70" s="296"/>
      <c r="G70" s="297"/>
      <c r="H70" s="191"/>
      <c r="I70" s="169"/>
    </row>
    <row r="71" spans="1:9" s="49" customFormat="1" ht="15" customHeight="1">
      <c r="A71" s="231"/>
      <c r="B71" s="192"/>
      <c r="C71" s="192"/>
      <c r="D71" s="192"/>
      <c r="E71" s="177"/>
      <c r="F71" s="190"/>
      <c r="G71" s="192"/>
      <c r="H71" s="192"/>
      <c r="I71" s="177"/>
    </row>
    <row r="72" spans="1:9" s="49" customFormat="1" ht="15" customHeight="1">
      <c r="A72" s="190"/>
      <c r="B72" s="190"/>
      <c r="C72" s="190"/>
      <c r="D72" s="190"/>
      <c r="E72" s="190"/>
      <c r="F72" s="190"/>
      <c r="G72" s="190"/>
      <c r="H72" s="190"/>
      <c r="I72" s="190"/>
    </row>
    <row r="73" spans="1:9" s="49" customFormat="1" ht="15" customHeight="1">
      <c r="A73" s="190"/>
      <c r="B73" s="190"/>
      <c r="C73" s="190"/>
      <c r="D73" s="190"/>
      <c r="E73" s="190"/>
      <c r="F73" s="190"/>
      <c r="G73" s="190"/>
      <c r="H73" s="190"/>
      <c r="I73" s="190"/>
    </row>
    <row r="74" spans="1:9" s="49" customFormat="1" ht="15" customHeight="1">
      <c r="A74" s="190"/>
      <c r="B74" s="190"/>
      <c r="C74" s="190"/>
      <c r="D74" s="190"/>
      <c r="E74" s="190"/>
      <c r="F74" s="190"/>
      <c r="G74" s="190"/>
      <c r="H74" s="190"/>
      <c r="I74" s="190"/>
    </row>
    <row r="75" spans="1:9" s="49" customFormat="1" ht="15" customHeight="1">
      <c r="A75" s="190"/>
      <c r="B75" s="190"/>
      <c r="C75" s="190"/>
      <c r="D75" s="190"/>
      <c r="E75" s="190"/>
      <c r="F75" s="190"/>
      <c r="G75" s="190"/>
      <c r="H75" s="190"/>
      <c r="I75" s="190"/>
    </row>
    <row r="76" spans="1:9" s="49" customFormat="1" ht="15" customHeight="1">
      <c r="A76" s="190"/>
      <c r="B76" s="190"/>
      <c r="C76" s="190"/>
      <c r="D76" s="190"/>
      <c r="E76" s="190"/>
      <c r="F76" s="190"/>
      <c r="G76" s="190"/>
      <c r="H76" s="190"/>
      <c r="I76" s="190"/>
    </row>
    <row r="77" spans="1:9" s="49" customFormat="1" ht="15" customHeight="1">
      <c r="A77" s="190"/>
      <c r="B77" s="190"/>
      <c r="C77" s="190"/>
      <c r="D77" s="190"/>
      <c r="E77" s="190"/>
      <c r="F77" s="190"/>
      <c r="G77" s="190"/>
      <c r="H77" s="190"/>
      <c r="I77" s="190"/>
    </row>
    <row r="78" spans="1:9" s="49" customFormat="1" ht="15" customHeight="1">
      <c r="A78" s="190"/>
      <c r="B78" s="190"/>
      <c r="C78" s="190"/>
      <c r="D78" s="190"/>
      <c r="E78" s="190"/>
      <c r="F78" s="190"/>
      <c r="G78" s="190"/>
      <c r="H78" s="190"/>
      <c r="I78" s="190"/>
    </row>
    <row r="79" spans="1:9" s="49" customFormat="1" ht="15" customHeight="1">
      <c r="A79" s="190"/>
      <c r="B79" s="190"/>
      <c r="C79" s="190"/>
      <c r="D79" s="190"/>
      <c r="E79" s="190"/>
      <c r="F79" s="190"/>
      <c r="G79" s="190"/>
      <c r="H79" s="190"/>
      <c r="I79" s="190"/>
    </row>
    <row r="80" spans="1:9" s="49" customFormat="1" ht="15" customHeight="1">
      <c r="A80" s="190"/>
      <c r="B80" s="190"/>
      <c r="C80" s="190"/>
      <c r="D80" s="190"/>
      <c r="E80" s="190"/>
      <c r="F80" s="190"/>
      <c r="G80" s="190"/>
      <c r="H80" s="190"/>
      <c r="I80" s="190"/>
    </row>
    <row r="81" spans="1:9" s="49" customFormat="1" ht="15" customHeight="1">
      <c r="A81" s="190"/>
      <c r="B81" s="190"/>
      <c r="C81" s="190"/>
      <c r="D81" s="190"/>
      <c r="E81" s="190"/>
      <c r="F81" s="190"/>
      <c r="G81" s="190"/>
      <c r="H81" s="190"/>
      <c r="I81" s="190"/>
    </row>
    <row r="82" spans="1:9" s="49" customFormat="1" ht="15" customHeight="1">
      <c r="A82" s="190"/>
      <c r="B82" s="190"/>
      <c r="C82" s="190"/>
      <c r="D82" s="190"/>
      <c r="E82" s="190"/>
      <c r="F82" s="190"/>
      <c r="G82" s="190"/>
      <c r="H82" s="190"/>
      <c r="I82" s="190"/>
    </row>
    <row r="83" spans="1:9" s="49" customFormat="1" ht="15" customHeight="1">
      <c r="A83" s="190"/>
      <c r="B83" s="190"/>
      <c r="C83" s="190"/>
      <c r="D83" s="190"/>
      <c r="E83" s="190"/>
      <c r="F83" s="190"/>
      <c r="G83" s="190"/>
      <c r="H83" s="190"/>
      <c r="I83" s="190"/>
    </row>
    <row r="84" spans="1:9" s="49" customFormat="1" ht="15" customHeight="1">
      <c r="A84" s="190"/>
      <c r="B84" s="190"/>
      <c r="C84" s="190"/>
      <c r="D84" s="190"/>
      <c r="E84" s="190"/>
      <c r="F84" s="190"/>
      <c r="G84" s="190"/>
      <c r="H84" s="190"/>
      <c r="I84" s="190"/>
    </row>
    <row r="85" spans="1:9" s="49" customFormat="1" ht="15" customHeight="1">
      <c r="A85" s="190"/>
      <c r="B85" s="190"/>
      <c r="C85" s="190"/>
      <c r="D85" s="190"/>
      <c r="E85" s="190"/>
      <c r="F85" s="190"/>
      <c r="G85" s="190"/>
      <c r="H85" s="190"/>
      <c r="I85" s="190"/>
    </row>
    <row r="86" spans="1:9" s="49" customFormat="1" ht="15" customHeight="1">
      <c r="A86" s="190"/>
      <c r="B86" s="190"/>
      <c r="C86" s="190"/>
      <c r="D86" s="190"/>
      <c r="E86" s="190"/>
      <c r="F86" s="190"/>
      <c r="G86" s="190"/>
      <c r="H86" s="190"/>
      <c r="I86" s="190"/>
    </row>
    <row r="87" spans="1:9" s="49" customFormat="1" ht="15" customHeight="1">
      <c r="A87" s="190"/>
      <c r="B87" s="190"/>
      <c r="C87" s="190"/>
      <c r="D87" s="190"/>
      <c r="E87" s="190"/>
      <c r="F87" s="190"/>
      <c r="G87" s="190"/>
      <c r="H87" s="190"/>
      <c r="I87" s="190"/>
    </row>
    <row r="88" spans="1:9" s="49" customFormat="1" ht="15" customHeight="1">
      <c r="A88" s="190"/>
      <c r="B88" s="190"/>
      <c r="C88" s="190"/>
      <c r="D88" s="190"/>
      <c r="E88" s="190"/>
      <c r="F88" s="190"/>
      <c r="G88" s="190"/>
      <c r="H88" s="190"/>
      <c r="I88" s="190"/>
    </row>
    <row r="89" spans="1:9" s="49" customFormat="1" ht="15" customHeight="1">
      <c r="A89" s="190"/>
      <c r="B89" s="190"/>
      <c r="C89" s="190"/>
      <c r="D89" s="190"/>
      <c r="E89" s="190"/>
      <c r="F89" s="190"/>
      <c r="G89" s="190"/>
      <c r="H89" s="190"/>
      <c r="I89" s="190"/>
    </row>
    <row r="90" spans="1:9" s="49" customFormat="1" ht="15" customHeight="1">
      <c r="A90" s="190"/>
      <c r="B90" s="190"/>
      <c r="C90" s="190"/>
      <c r="D90" s="190"/>
      <c r="E90" s="190"/>
      <c r="F90" s="190"/>
      <c r="G90" s="190"/>
      <c r="H90" s="190"/>
      <c r="I90" s="190"/>
    </row>
    <row r="91" spans="1:9" s="49" customFormat="1" ht="15" customHeight="1">
      <c r="A91" s="190"/>
      <c r="B91" s="190"/>
      <c r="C91" s="190"/>
      <c r="D91" s="190"/>
      <c r="E91" s="190"/>
      <c r="F91" s="190"/>
      <c r="G91" s="190"/>
      <c r="H91" s="190"/>
      <c r="I91" s="190"/>
    </row>
    <row r="92" spans="1:9" s="49" customFormat="1" ht="15" customHeight="1">
      <c r="A92" s="190"/>
      <c r="B92" s="190"/>
      <c r="C92" s="190"/>
      <c r="D92" s="190"/>
      <c r="E92" s="190"/>
      <c r="F92" s="190"/>
      <c r="G92" s="190"/>
      <c r="H92" s="190"/>
      <c r="I92" s="190"/>
    </row>
    <row r="93" spans="1:9" s="49" customFormat="1" ht="15" customHeight="1">
      <c r="A93" s="190"/>
      <c r="B93" s="190"/>
      <c r="C93" s="190"/>
      <c r="D93" s="190"/>
      <c r="E93" s="190"/>
      <c r="F93" s="190"/>
      <c r="G93" s="190"/>
      <c r="H93" s="190"/>
      <c r="I93" s="190"/>
    </row>
    <row r="94" spans="1:9" s="49" customFormat="1" ht="15" customHeight="1">
      <c r="A94" s="190"/>
      <c r="B94" s="190"/>
      <c r="C94" s="190"/>
      <c r="D94" s="190"/>
      <c r="E94" s="190"/>
      <c r="F94" s="190"/>
      <c r="G94" s="190"/>
      <c r="H94" s="190"/>
      <c r="I94" s="190"/>
    </row>
    <row r="95" spans="1:9" s="49" customFormat="1" ht="15" customHeight="1">
      <c r="A95" s="190"/>
      <c r="B95" s="190"/>
      <c r="C95" s="190"/>
      <c r="D95" s="190"/>
      <c r="E95" s="190"/>
      <c r="F95" s="190"/>
      <c r="G95" s="190"/>
      <c r="H95" s="190"/>
      <c r="I95" s="190"/>
    </row>
    <row r="96" spans="1:9" s="49" customFormat="1" ht="15" customHeight="1">
      <c r="A96" s="190"/>
      <c r="B96" s="190"/>
      <c r="C96" s="190"/>
      <c r="D96" s="190"/>
      <c r="E96" s="190"/>
      <c r="F96" s="190"/>
      <c r="G96" s="190"/>
      <c r="H96" s="190"/>
      <c r="I96" s="190"/>
    </row>
    <row r="97" spans="1:9" s="49" customFormat="1" ht="15" customHeight="1">
      <c r="A97" s="190"/>
      <c r="B97" s="190"/>
      <c r="C97" s="190"/>
      <c r="D97" s="190"/>
      <c r="E97" s="190"/>
      <c r="F97" s="190"/>
      <c r="G97" s="190"/>
      <c r="H97" s="190"/>
      <c r="I97" s="190"/>
    </row>
    <row r="98" spans="1:9" s="49" customFormat="1" ht="15" customHeight="1">
      <c r="A98" s="190"/>
      <c r="B98" s="190"/>
      <c r="C98" s="190"/>
      <c r="D98" s="190"/>
      <c r="E98" s="190"/>
      <c r="F98" s="190"/>
      <c r="G98" s="190"/>
      <c r="H98" s="190"/>
      <c r="I98" s="190"/>
    </row>
    <row r="99" spans="1:9" s="49" customFormat="1" ht="15" customHeight="1">
      <c r="A99" s="190"/>
      <c r="B99" s="190"/>
      <c r="C99" s="190"/>
      <c r="D99" s="190"/>
      <c r="E99" s="190"/>
      <c r="F99" s="190"/>
      <c r="G99" s="190"/>
      <c r="H99" s="190"/>
      <c r="I99" s="190"/>
    </row>
    <row r="100" spans="1:9" s="49" customFormat="1" ht="15" customHeight="1">
      <c r="A100" s="190"/>
      <c r="B100" s="190"/>
      <c r="C100" s="190"/>
      <c r="D100" s="190"/>
      <c r="E100" s="190"/>
      <c r="F100" s="190"/>
      <c r="G100" s="190"/>
      <c r="H100" s="190"/>
      <c r="I100" s="190"/>
    </row>
    <row r="101" spans="1:9" s="49" customFormat="1" ht="15" customHeight="1">
      <c r="A101" s="190"/>
      <c r="B101" s="190"/>
      <c r="C101" s="190"/>
      <c r="D101" s="190"/>
      <c r="E101" s="190"/>
      <c r="F101" s="190"/>
      <c r="G101" s="190"/>
      <c r="H101" s="190"/>
      <c r="I101" s="190"/>
    </row>
    <row r="102" spans="1:9" s="49" customFormat="1" ht="15" customHeight="1">
      <c r="A102" s="190"/>
      <c r="B102" s="190"/>
      <c r="C102" s="190"/>
      <c r="D102" s="190"/>
      <c r="E102" s="190"/>
      <c r="F102" s="190"/>
      <c r="G102" s="190"/>
      <c r="H102" s="190"/>
      <c r="I102" s="190"/>
    </row>
    <row r="103" spans="1:9" s="49" customFormat="1" ht="15" customHeight="1">
      <c r="A103" s="190"/>
      <c r="B103" s="190"/>
      <c r="C103" s="190"/>
      <c r="D103" s="190"/>
      <c r="E103" s="190"/>
      <c r="F103" s="190"/>
      <c r="G103" s="190"/>
      <c r="H103" s="190"/>
      <c r="I103" s="190"/>
    </row>
    <row r="104" spans="1:9" s="49" customFormat="1" ht="15" customHeight="1">
      <c r="A104" s="190"/>
      <c r="B104" s="190"/>
      <c r="C104" s="190"/>
      <c r="D104" s="190"/>
      <c r="E104" s="190"/>
      <c r="F104" s="190"/>
      <c r="G104" s="190"/>
      <c r="H104" s="190"/>
      <c r="I104" s="190"/>
    </row>
    <row r="105" spans="1:9" s="49" customFormat="1" ht="15" customHeight="1">
      <c r="A105" s="190"/>
      <c r="B105" s="190"/>
      <c r="C105" s="190"/>
      <c r="D105" s="190"/>
      <c r="E105" s="190"/>
      <c r="F105" s="190"/>
      <c r="G105" s="190"/>
      <c r="H105" s="190"/>
      <c r="I105" s="190"/>
    </row>
    <row r="106" spans="1:9" s="49" customFormat="1" ht="15" customHeight="1">
      <c r="A106" s="190"/>
      <c r="B106" s="190"/>
      <c r="C106" s="190"/>
      <c r="D106" s="190"/>
      <c r="E106" s="190"/>
      <c r="F106" s="190"/>
      <c r="G106" s="190"/>
      <c r="H106" s="190"/>
      <c r="I106" s="190"/>
    </row>
    <row r="107" spans="1:9" s="49" customFormat="1" ht="15" customHeight="1">
      <c r="A107" s="190"/>
      <c r="B107" s="190"/>
      <c r="C107" s="190"/>
      <c r="D107" s="190"/>
      <c r="E107" s="190"/>
      <c r="F107" s="190"/>
      <c r="G107" s="190"/>
      <c r="H107" s="190"/>
      <c r="I107" s="190"/>
    </row>
    <row r="108" spans="1:9" s="49" customFormat="1" ht="15" customHeight="1">
      <c r="A108" s="190"/>
      <c r="B108" s="190"/>
      <c r="C108" s="190"/>
      <c r="D108" s="190"/>
      <c r="E108" s="190"/>
      <c r="F108" s="190"/>
      <c r="G108" s="190"/>
      <c r="H108" s="190"/>
      <c r="I108" s="190"/>
    </row>
    <row r="109" spans="1:9" s="49" customFormat="1" ht="15" customHeight="1">
      <c r="A109" s="190"/>
      <c r="B109" s="190"/>
      <c r="C109" s="190"/>
      <c r="D109" s="190"/>
      <c r="E109" s="190"/>
      <c r="F109" s="190"/>
      <c r="G109" s="190"/>
      <c r="H109" s="190"/>
      <c r="I109" s="190"/>
    </row>
    <row r="110" spans="1:9" s="49" customFormat="1" ht="15" customHeight="1">
      <c r="A110" s="190"/>
      <c r="B110" s="190"/>
      <c r="C110" s="190"/>
      <c r="D110" s="190"/>
      <c r="E110" s="190"/>
      <c r="F110" s="190"/>
      <c r="G110" s="190"/>
      <c r="H110" s="190"/>
      <c r="I110" s="190"/>
    </row>
    <row r="111" spans="1:9" s="49" customFormat="1" ht="15" customHeight="1">
      <c r="A111" s="190"/>
      <c r="B111" s="190"/>
      <c r="C111" s="190"/>
      <c r="D111" s="190"/>
      <c r="E111" s="190"/>
      <c r="F111" s="190"/>
      <c r="G111" s="190"/>
      <c r="H111" s="190"/>
      <c r="I111" s="190"/>
    </row>
    <row r="112" spans="1:9" s="49" customFormat="1" ht="15" customHeight="1">
      <c r="A112" s="190"/>
      <c r="B112" s="190"/>
      <c r="C112" s="190"/>
      <c r="D112" s="190"/>
      <c r="E112" s="190"/>
      <c r="F112" s="190"/>
      <c r="G112" s="190"/>
      <c r="H112" s="190"/>
      <c r="I112" s="190"/>
    </row>
    <row r="113" spans="1:9" s="49" customFormat="1" ht="15" customHeight="1">
      <c r="A113" s="190"/>
      <c r="B113" s="190"/>
      <c r="C113" s="190"/>
      <c r="D113" s="190"/>
      <c r="E113" s="190"/>
      <c r="F113" s="190"/>
      <c r="G113" s="190"/>
      <c r="H113" s="190"/>
      <c r="I113" s="190"/>
    </row>
    <row r="114" spans="1:9" s="49" customFormat="1" ht="15" customHeight="1">
      <c r="A114" s="190"/>
      <c r="B114" s="190"/>
      <c r="C114" s="190"/>
      <c r="D114" s="190"/>
      <c r="E114" s="190"/>
      <c r="F114" s="190"/>
      <c r="G114" s="190"/>
      <c r="H114" s="190"/>
      <c r="I114" s="190"/>
    </row>
    <row r="115" spans="1:9" s="49" customFormat="1" ht="15" customHeight="1">
      <c r="A115" s="190"/>
      <c r="B115" s="190"/>
      <c r="C115" s="190"/>
      <c r="D115" s="190"/>
      <c r="E115" s="190"/>
      <c r="F115" s="190"/>
      <c r="G115" s="190"/>
      <c r="H115" s="190"/>
      <c r="I115" s="190"/>
    </row>
    <row r="116" spans="1:9" s="49" customFormat="1" ht="15" customHeight="1">
      <c r="A116" s="190"/>
      <c r="B116" s="190"/>
      <c r="C116" s="190"/>
      <c r="D116" s="190"/>
      <c r="E116" s="190"/>
      <c r="F116" s="190"/>
      <c r="G116" s="190"/>
      <c r="H116" s="190"/>
      <c r="I116" s="190"/>
    </row>
    <row r="117" spans="1:9" s="49" customFormat="1" ht="15" customHeight="1">
      <c r="A117" s="190"/>
      <c r="B117" s="190"/>
      <c r="C117" s="190"/>
      <c r="D117" s="190"/>
      <c r="E117" s="190"/>
      <c r="F117" s="190"/>
      <c r="G117" s="190"/>
      <c r="H117" s="190"/>
      <c r="I117" s="190"/>
    </row>
    <row r="118" spans="1:9" s="49" customFormat="1" ht="15" customHeight="1">
      <c r="A118" s="190"/>
      <c r="B118" s="190"/>
      <c r="C118" s="190"/>
      <c r="D118" s="190"/>
      <c r="E118" s="190"/>
      <c r="F118" s="190"/>
      <c r="G118" s="190"/>
      <c r="H118" s="190"/>
      <c r="I118" s="190"/>
    </row>
    <row r="119" spans="1:9" s="49" customFormat="1" ht="15" customHeight="1">
      <c r="A119" s="190"/>
      <c r="B119" s="190"/>
      <c r="C119" s="190"/>
      <c r="D119" s="190"/>
      <c r="E119" s="190"/>
      <c r="F119" s="190"/>
      <c r="G119" s="190"/>
      <c r="H119" s="190"/>
      <c r="I119" s="190"/>
    </row>
    <row r="120" spans="1:9" s="49" customFormat="1" ht="15" customHeight="1">
      <c r="A120" s="190"/>
      <c r="B120" s="190"/>
      <c r="C120" s="190"/>
      <c r="D120" s="190"/>
      <c r="E120" s="190"/>
      <c r="F120" s="190"/>
      <c r="G120" s="190"/>
      <c r="H120" s="190"/>
      <c r="I120" s="190"/>
    </row>
    <row r="121" spans="1:9" s="49" customFormat="1" ht="15" customHeight="1">
      <c r="A121" s="190"/>
      <c r="B121" s="190"/>
      <c r="C121" s="190"/>
      <c r="D121" s="190"/>
      <c r="E121" s="190"/>
      <c r="F121" s="190"/>
      <c r="G121" s="190"/>
      <c r="H121" s="190"/>
      <c r="I121" s="190"/>
    </row>
    <row r="122" spans="1:9" s="49" customFormat="1" ht="15" customHeight="1">
      <c r="A122" s="190"/>
      <c r="B122" s="190"/>
      <c r="C122" s="190"/>
      <c r="D122" s="190"/>
      <c r="E122" s="190"/>
      <c r="F122" s="190"/>
      <c r="G122" s="190"/>
      <c r="H122" s="190"/>
      <c r="I122" s="190"/>
    </row>
    <row r="123" spans="1:9" s="49" customFormat="1" ht="15" customHeight="1">
      <c r="A123" s="190"/>
      <c r="B123" s="190"/>
      <c r="C123" s="190"/>
      <c r="D123" s="190"/>
      <c r="E123" s="190"/>
      <c r="F123" s="190"/>
      <c r="G123" s="190"/>
      <c r="H123" s="190"/>
      <c r="I123" s="190"/>
    </row>
    <row r="124" spans="1:9" s="49" customFormat="1" ht="15" customHeight="1">
      <c r="A124" s="190"/>
      <c r="B124" s="190"/>
      <c r="C124" s="190"/>
      <c r="D124" s="190"/>
      <c r="E124" s="190"/>
      <c r="F124" s="190"/>
      <c r="G124" s="190"/>
      <c r="H124" s="190"/>
      <c r="I124" s="190"/>
    </row>
    <row r="125" spans="1:9" s="49" customFormat="1" ht="15" customHeight="1">
      <c r="A125" s="190"/>
      <c r="B125" s="190"/>
      <c r="C125" s="190"/>
      <c r="D125" s="190"/>
      <c r="E125" s="190"/>
      <c r="F125" s="190"/>
      <c r="G125" s="190"/>
      <c r="H125" s="190"/>
      <c r="I125" s="190"/>
    </row>
    <row r="126" spans="1:9" s="49" customFormat="1" ht="15" customHeight="1">
      <c r="A126" s="190"/>
      <c r="B126" s="190"/>
      <c r="C126" s="190"/>
      <c r="D126" s="190"/>
      <c r="E126" s="190"/>
      <c r="F126" s="190"/>
      <c r="G126" s="190"/>
      <c r="H126" s="190"/>
      <c r="I126" s="190"/>
    </row>
    <row r="127" spans="1:9" s="49" customFormat="1" ht="15" customHeight="1">
      <c r="A127" s="190"/>
      <c r="B127" s="190"/>
      <c r="C127" s="190"/>
      <c r="D127" s="190"/>
      <c r="E127" s="190"/>
      <c r="F127" s="190"/>
      <c r="G127" s="190"/>
      <c r="H127" s="190"/>
      <c r="I127" s="190"/>
    </row>
    <row r="128" spans="1:9" s="49" customFormat="1" ht="15" customHeight="1">
      <c r="A128" s="190"/>
      <c r="B128" s="190"/>
      <c r="C128" s="190"/>
      <c r="D128" s="190"/>
      <c r="E128" s="190"/>
      <c r="F128" s="190"/>
      <c r="G128" s="190"/>
      <c r="H128" s="190"/>
      <c r="I128" s="190"/>
    </row>
    <row r="129" spans="1:9" s="49" customFormat="1" ht="15" customHeight="1">
      <c r="A129" s="190"/>
      <c r="B129" s="190"/>
      <c r="C129" s="190"/>
      <c r="D129" s="190"/>
      <c r="E129" s="190"/>
      <c r="F129" s="190"/>
      <c r="G129" s="190"/>
      <c r="H129" s="190"/>
      <c r="I129" s="190"/>
    </row>
    <row r="130" spans="1:9" s="49" customFormat="1" ht="15" customHeight="1">
      <c r="A130" s="190"/>
      <c r="B130" s="190"/>
      <c r="C130" s="190"/>
      <c r="D130" s="190"/>
      <c r="E130" s="190"/>
      <c r="F130" s="190"/>
      <c r="G130" s="190"/>
      <c r="H130" s="190"/>
      <c r="I130" s="190"/>
    </row>
    <row r="131" spans="1:9" s="49" customFormat="1" ht="15" customHeight="1">
      <c r="A131" s="190"/>
      <c r="B131" s="190"/>
      <c r="C131" s="190"/>
      <c r="D131" s="190"/>
      <c r="E131" s="190"/>
      <c r="F131" s="190"/>
      <c r="G131" s="190"/>
      <c r="H131" s="190"/>
      <c r="I131" s="190"/>
    </row>
    <row r="132" spans="1:9" s="49" customFormat="1" ht="15" customHeight="1">
      <c r="A132" s="190"/>
      <c r="B132" s="190"/>
      <c r="C132" s="190"/>
      <c r="D132" s="190"/>
      <c r="E132" s="190"/>
      <c r="F132" s="190"/>
      <c r="G132" s="190"/>
      <c r="H132" s="190"/>
      <c r="I132" s="190"/>
    </row>
    <row r="133" spans="1:9" s="49" customFormat="1" ht="15" customHeight="1">
      <c r="A133" s="190"/>
      <c r="B133" s="190"/>
      <c r="C133" s="190"/>
      <c r="D133" s="190"/>
      <c r="E133" s="190"/>
      <c r="F133" s="190"/>
      <c r="G133" s="190"/>
      <c r="H133" s="190"/>
      <c r="I133" s="190"/>
    </row>
    <row r="134" spans="1:9" s="49" customFormat="1" ht="15" customHeight="1">
      <c r="A134" s="190"/>
      <c r="B134" s="190"/>
      <c r="C134" s="190"/>
      <c r="D134" s="190"/>
      <c r="E134" s="190"/>
      <c r="F134" s="190"/>
      <c r="G134" s="190"/>
      <c r="H134" s="190"/>
      <c r="I134" s="190"/>
    </row>
    <row r="135" spans="1:9" s="49" customFormat="1" ht="15" customHeight="1">
      <c r="A135" s="190"/>
      <c r="B135" s="190"/>
      <c r="C135" s="190"/>
      <c r="D135" s="190"/>
      <c r="E135" s="190"/>
      <c r="F135" s="190"/>
      <c r="G135" s="190"/>
      <c r="H135" s="190"/>
      <c r="I135" s="190"/>
    </row>
    <row r="136" spans="1:9" s="49" customFormat="1" ht="15" customHeight="1">
      <c r="A136" s="190"/>
      <c r="B136" s="190"/>
      <c r="C136" s="190"/>
      <c r="D136" s="190"/>
      <c r="E136" s="190"/>
      <c r="F136" s="190"/>
      <c r="G136" s="190"/>
      <c r="H136" s="190"/>
      <c r="I136" s="190"/>
    </row>
    <row r="137" spans="1:9" s="49" customFormat="1" ht="15" customHeight="1">
      <c r="A137" s="190"/>
      <c r="B137" s="190"/>
      <c r="C137" s="190"/>
      <c r="D137" s="190"/>
      <c r="E137" s="190"/>
      <c r="F137" s="190"/>
      <c r="G137" s="190"/>
      <c r="H137" s="190"/>
      <c r="I137" s="190"/>
    </row>
    <row r="138" spans="1:9" s="49" customFormat="1" ht="15" customHeight="1">
      <c r="A138" s="190"/>
      <c r="B138" s="190"/>
      <c r="C138" s="190"/>
      <c r="D138" s="190"/>
      <c r="E138" s="190"/>
      <c r="F138" s="190"/>
      <c r="G138" s="190"/>
      <c r="H138" s="190"/>
      <c r="I138" s="190"/>
    </row>
    <row r="139" spans="1:9" s="49" customFormat="1" ht="15" customHeight="1">
      <c r="A139" s="190"/>
      <c r="B139" s="190"/>
      <c r="C139" s="190"/>
      <c r="D139" s="190"/>
      <c r="E139" s="190"/>
      <c r="F139" s="190"/>
      <c r="G139" s="190"/>
      <c r="H139" s="190"/>
      <c r="I139" s="190"/>
    </row>
    <row r="140" spans="1:9" s="49" customFormat="1" ht="15" customHeight="1">
      <c r="A140" s="190"/>
      <c r="B140" s="190"/>
      <c r="C140" s="190"/>
      <c r="D140" s="190"/>
      <c r="E140" s="190"/>
      <c r="F140" s="190"/>
      <c r="G140" s="190"/>
      <c r="H140" s="190"/>
      <c r="I140" s="190"/>
    </row>
    <row r="141" spans="1:9" s="49" customFormat="1" ht="15" customHeight="1">
      <c r="A141" s="190"/>
      <c r="B141" s="190"/>
      <c r="C141" s="190"/>
      <c r="D141" s="190"/>
      <c r="E141" s="190"/>
      <c r="F141" s="190"/>
      <c r="G141" s="190"/>
      <c r="H141" s="190"/>
      <c r="I141" s="190"/>
    </row>
    <row r="142" spans="1:9" s="49" customFormat="1" ht="15" customHeight="1">
      <c r="A142" s="190"/>
      <c r="B142" s="190"/>
      <c r="C142" s="190"/>
      <c r="D142" s="190"/>
      <c r="E142" s="190"/>
      <c r="F142" s="190"/>
      <c r="G142" s="190"/>
      <c r="H142" s="190"/>
      <c r="I142" s="190"/>
    </row>
    <row r="143" spans="1:9" s="49" customFormat="1" ht="15" customHeight="1">
      <c r="A143" s="190"/>
      <c r="B143" s="190"/>
      <c r="C143" s="190"/>
      <c r="D143" s="190"/>
      <c r="E143" s="190"/>
      <c r="F143" s="190"/>
      <c r="G143" s="190"/>
      <c r="H143" s="190"/>
      <c r="I143" s="190"/>
    </row>
    <row r="144" spans="1:9" s="49" customFormat="1" ht="15" customHeight="1">
      <c r="A144" s="190"/>
      <c r="B144" s="190"/>
      <c r="C144" s="190"/>
      <c r="D144" s="190"/>
      <c r="E144" s="190"/>
      <c r="F144" s="190"/>
      <c r="G144" s="190"/>
      <c r="H144" s="190"/>
      <c r="I144" s="190"/>
    </row>
    <row r="145" spans="1:9" s="49" customFormat="1" ht="15" customHeight="1">
      <c r="A145" s="190"/>
      <c r="B145" s="190"/>
      <c r="C145" s="190"/>
      <c r="D145" s="190"/>
      <c r="E145" s="190"/>
      <c r="F145" s="190"/>
      <c r="G145" s="190"/>
      <c r="H145" s="190"/>
      <c r="I145" s="190"/>
    </row>
    <row r="146" spans="1:9" s="49" customFormat="1" ht="15" customHeight="1">
      <c r="A146" s="190"/>
      <c r="B146" s="190"/>
      <c r="C146" s="190"/>
      <c r="D146" s="190"/>
      <c r="E146" s="190"/>
      <c r="F146" s="190"/>
      <c r="G146" s="190"/>
      <c r="H146" s="190"/>
      <c r="I146" s="190"/>
    </row>
    <row r="147" spans="1:9" s="49" customFormat="1" ht="15" customHeight="1">
      <c r="A147" s="190"/>
      <c r="B147" s="190"/>
      <c r="C147" s="190"/>
      <c r="D147" s="190"/>
      <c r="E147" s="190"/>
      <c r="F147" s="190"/>
      <c r="G147" s="190"/>
      <c r="H147" s="190"/>
      <c r="I147" s="190"/>
    </row>
    <row r="148" spans="1:9" s="49" customFormat="1" ht="15" customHeight="1">
      <c r="A148" s="190"/>
      <c r="B148" s="190"/>
      <c r="C148" s="190"/>
      <c r="D148" s="190"/>
      <c r="E148" s="190"/>
      <c r="F148" s="190"/>
      <c r="G148" s="190"/>
      <c r="H148" s="190"/>
      <c r="I148" s="190"/>
    </row>
    <row r="149" spans="1:9" s="49" customFormat="1" ht="15" customHeight="1">
      <c r="A149" s="190"/>
      <c r="B149" s="190"/>
      <c r="C149" s="190"/>
      <c r="D149" s="190"/>
      <c r="E149" s="190"/>
      <c r="F149" s="190"/>
      <c r="G149" s="190"/>
      <c r="H149" s="190"/>
      <c r="I149" s="190"/>
    </row>
    <row r="150" spans="1:9" s="49" customFormat="1" ht="15" customHeight="1">
      <c r="A150" s="190"/>
      <c r="B150" s="190"/>
      <c r="C150" s="190"/>
      <c r="D150" s="190"/>
      <c r="E150" s="190"/>
      <c r="F150" s="190"/>
      <c r="G150" s="190"/>
      <c r="H150" s="190"/>
      <c r="I150" s="190"/>
    </row>
    <row r="151" spans="1:9" s="49" customFormat="1" ht="15" customHeight="1">
      <c r="A151" s="190"/>
      <c r="B151" s="190"/>
      <c r="C151" s="190"/>
      <c r="D151" s="190"/>
      <c r="E151" s="190"/>
      <c r="F151" s="190"/>
      <c r="G151" s="190"/>
      <c r="H151" s="190"/>
      <c r="I151" s="190"/>
    </row>
    <row r="152" spans="1:9" s="49" customFormat="1" ht="15" customHeight="1">
      <c r="A152" s="190"/>
      <c r="B152" s="190"/>
      <c r="C152" s="190"/>
      <c r="D152" s="190"/>
      <c r="E152" s="190"/>
      <c r="F152" s="190"/>
      <c r="G152" s="190"/>
      <c r="H152" s="190"/>
      <c r="I152" s="190"/>
    </row>
    <row r="153" spans="1:9" s="49" customFormat="1" ht="15" customHeight="1">
      <c r="A153" s="190"/>
      <c r="B153" s="190"/>
      <c r="C153" s="190"/>
      <c r="D153" s="190"/>
      <c r="E153" s="190"/>
      <c r="F153" s="190"/>
      <c r="G153" s="190"/>
      <c r="H153" s="190"/>
      <c r="I153" s="190"/>
    </row>
    <row r="154" spans="1:9" s="49" customFormat="1" ht="15" customHeight="1">
      <c r="A154" s="190"/>
      <c r="B154" s="190"/>
      <c r="C154" s="190"/>
      <c r="D154" s="190"/>
      <c r="E154" s="190"/>
      <c r="F154" s="190"/>
      <c r="G154" s="190"/>
      <c r="H154" s="190"/>
      <c r="I154" s="190"/>
    </row>
    <row r="155" spans="1:9" s="49" customFormat="1" ht="15" customHeight="1">
      <c r="A155" s="190"/>
      <c r="B155" s="190"/>
      <c r="C155" s="190"/>
      <c r="D155" s="190"/>
      <c r="E155" s="190"/>
      <c r="F155" s="190"/>
      <c r="G155" s="190"/>
      <c r="H155" s="190"/>
      <c r="I155" s="190"/>
    </row>
    <row r="156" spans="1:9" s="49" customFormat="1" ht="15" customHeight="1">
      <c r="A156" s="190"/>
      <c r="B156" s="190"/>
      <c r="C156" s="190"/>
      <c r="D156" s="190"/>
      <c r="E156" s="190"/>
      <c r="F156" s="190"/>
      <c r="G156" s="190"/>
      <c r="H156" s="190"/>
      <c r="I156" s="190"/>
    </row>
    <row r="157" spans="1:9" s="49" customFormat="1" ht="15" customHeight="1">
      <c r="A157" s="190"/>
      <c r="B157" s="190"/>
      <c r="C157" s="190"/>
      <c r="D157" s="190"/>
      <c r="E157" s="190"/>
      <c r="F157" s="190"/>
      <c r="G157" s="190"/>
      <c r="H157" s="190"/>
      <c r="I157" s="190"/>
    </row>
    <row r="158" spans="1:9" s="49" customFormat="1" ht="15" customHeight="1">
      <c r="A158" s="190"/>
      <c r="B158" s="190"/>
      <c r="C158" s="190"/>
      <c r="D158" s="190"/>
      <c r="E158" s="190"/>
      <c r="F158" s="190"/>
      <c r="G158" s="190"/>
      <c r="H158" s="190"/>
      <c r="I158" s="190"/>
    </row>
    <row r="159" spans="1:9" s="49" customFormat="1" ht="15" customHeight="1">
      <c r="A159" s="190"/>
      <c r="B159" s="190"/>
      <c r="C159" s="190"/>
      <c r="D159" s="190"/>
      <c r="E159" s="190"/>
      <c r="F159" s="190"/>
      <c r="G159" s="190"/>
      <c r="H159" s="190"/>
      <c r="I159" s="190"/>
    </row>
    <row r="160" spans="1:9" s="49" customFormat="1" ht="15" customHeight="1">
      <c r="A160" s="190"/>
      <c r="B160" s="190"/>
      <c r="C160" s="190"/>
      <c r="D160" s="190"/>
      <c r="E160" s="190"/>
      <c r="F160" s="190"/>
      <c r="G160" s="190"/>
      <c r="H160" s="190"/>
      <c r="I160" s="190"/>
    </row>
    <row r="161" spans="1:9" s="49" customFormat="1" ht="15" customHeight="1">
      <c r="A161" s="190"/>
      <c r="B161" s="190"/>
      <c r="C161" s="190"/>
      <c r="D161" s="190"/>
      <c r="E161" s="190"/>
      <c r="F161" s="190"/>
      <c r="G161" s="190"/>
      <c r="H161" s="190"/>
      <c r="I161" s="190"/>
    </row>
    <row r="162" spans="1:9" s="49" customFormat="1" ht="15" customHeight="1">
      <c r="A162" s="190"/>
      <c r="B162" s="190"/>
      <c r="C162" s="190"/>
      <c r="D162" s="190"/>
      <c r="E162" s="190"/>
      <c r="F162" s="190"/>
      <c r="G162" s="190"/>
      <c r="H162" s="190"/>
      <c r="I162" s="190"/>
    </row>
    <row r="163" spans="1:9" s="49" customFormat="1" ht="15" customHeight="1">
      <c r="A163" s="190"/>
      <c r="B163" s="190"/>
      <c r="C163" s="190"/>
      <c r="D163" s="190"/>
      <c r="E163" s="190"/>
      <c r="F163" s="190"/>
      <c r="G163" s="190"/>
      <c r="H163" s="190"/>
      <c r="I163" s="190"/>
    </row>
    <row r="164" spans="1:9" s="49" customFormat="1" ht="15" customHeight="1">
      <c r="A164" s="190"/>
      <c r="B164" s="190"/>
      <c r="C164" s="190"/>
      <c r="D164" s="190"/>
      <c r="E164" s="190"/>
      <c r="F164" s="190"/>
      <c r="G164" s="190"/>
      <c r="H164" s="190"/>
      <c r="I164" s="190"/>
    </row>
    <row r="165" spans="1:9" s="49" customFormat="1" ht="15" customHeight="1">
      <c r="A165" s="190"/>
      <c r="B165" s="190"/>
      <c r="C165" s="190"/>
      <c r="D165" s="190"/>
      <c r="E165" s="190"/>
      <c r="F165" s="190"/>
      <c r="G165" s="190"/>
      <c r="H165" s="190"/>
      <c r="I165" s="190"/>
    </row>
    <row r="166" spans="1:9" s="49" customFormat="1" ht="15" customHeight="1">
      <c r="A166" s="190"/>
      <c r="B166" s="190"/>
      <c r="C166" s="190"/>
      <c r="D166" s="190"/>
      <c r="E166" s="190"/>
      <c r="F166" s="190"/>
      <c r="G166" s="190"/>
      <c r="H166" s="190"/>
      <c r="I166" s="190"/>
    </row>
    <row r="167" spans="1:9" s="49" customFormat="1" ht="15" customHeight="1">
      <c r="A167" s="190"/>
      <c r="B167" s="190"/>
      <c r="C167" s="190"/>
      <c r="D167" s="190"/>
      <c r="E167" s="190"/>
      <c r="F167" s="190"/>
      <c r="G167" s="190"/>
      <c r="H167" s="190"/>
      <c r="I167" s="190"/>
    </row>
    <row r="168" spans="1:9" ht="15" customHeight="1">
      <c r="A168" s="147"/>
      <c r="B168" s="147"/>
      <c r="C168" s="147"/>
      <c r="D168" s="147"/>
      <c r="E168" s="147"/>
      <c r="F168" s="147"/>
      <c r="G168" s="147"/>
      <c r="H168" s="147"/>
      <c r="I168" s="147"/>
    </row>
    <row r="169" spans="1:9" ht="15" customHeight="1">
      <c r="A169" s="147"/>
      <c r="B169" s="147"/>
      <c r="C169" s="147"/>
      <c r="D169" s="147"/>
      <c r="E169" s="147"/>
      <c r="F169" s="147"/>
      <c r="G169" s="147"/>
      <c r="H169" s="147"/>
      <c r="I169" s="147"/>
    </row>
    <row r="170" spans="1:9" ht="15" customHeight="1">
      <c r="A170" s="147"/>
      <c r="B170" s="147"/>
      <c r="C170" s="147"/>
      <c r="D170" s="147"/>
      <c r="E170" s="147"/>
      <c r="F170" s="147"/>
      <c r="G170" s="147"/>
      <c r="H170" s="147"/>
      <c r="I170" s="147"/>
    </row>
    <row r="171" spans="1:9" ht="15" customHeight="1">
      <c r="A171" s="147"/>
      <c r="B171" s="147"/>
      <c r="C171" s="147"/>
      <c r="D171" s="147"/>
      <c r="E171" s="147"/>
      <c r="F171" s="147"/>
      <c r="G171" s="147"/>
      <c r="H171" s="147"/>
      <c r="I171" s="147"/>
    </row>
    <row r="172" spans="1:9" ht="15" customHeight="1">
      <c r="A172" s="147"/>
      <c r="B172" s="147"/>
      <c r="C172" s="147"/>
      <c r="D172" s="147"/>
      <c r="E172" s="147"/>
      <c r="F172" s="147"/>
      <c r="G172" s="147"/>
      <c r="H172" s="147"/>
      <c r="I172" s="147"/>
    </row>
    <row r="173" spans="1:9" ht="15" customHeight="1">
      <c r="A173" s="147"/>
      <c r="B173" s="147"/>
      <c r="C173" s="147"/>
      <c r="D173" s="147"/>
      <c r="E173" s="147"/>
      <c r="F173" s="147"/>
      <c r="G173" s="147"/>
      <c r="H173" s="147"/>
      <c r="I173" s="147"/>
    </row>
    <row r="174" spans="1:9" ht="15" customHeight="1">
      <c r="A174" s="147"/>
      <c r="B174" s="147"/>
      <c r="C174" s="147"/>
      <c r="D174" s="147"/>
      <c r="E174" s="147"/>
      <c r="F174" s="147"/>
      <c r="G174" s="147"/>
      <c r="H174" s="147"/>
      <c r="I174" s="147"/>
    </row>
    <row r="175" spans="1:9" ht="15" customHeight="1">
      <c r="A175" s="147"/>
      <c r="B175" s="147"/>
      <c r="C175" s="147"/>
      <c r="D175" s="147"/>
      <c r="E175" s="147"/>
      <c r="F175" s="147"/>
      <c r="G175" s="147"/>
      <c r="H175" s="147"/>
      <c r="I175" s="147"/>
    </row>
    <row r="176" spans="1:9" ht="15" customHeight="1">
      <c r="A176" s="147"/>
      <c r="B176" s="147"/>
      <c r="C176" s="147"/>
      <c r="D176" s="147"/>
      <c r="E176" s="147"/>
      <c r="F176" s="147"/>
      <c r="G176" s="147"/>
      <c r="H176" s="147"/>
      <c r="I176" s="147"/>
    </row>
    <row r="177" spans="1:9" ht="15" customHeight="1">
      <c r="A177" s="147"/>
      <c r="B177" s="147"/>
      <c r="C177" s="147"/>
      <c r="D177" s="147"/>
      <c r="E177" s="147"/>
      <c r="F177" s="147"/>
      <c r="G177" s="147"/>
      <c r="H177" s="147"/>
      <c r="I177" s="147"/>
    </row>
    <row r="178" spans="1:9" ht="15" customHeight="1">
      <c r="A178" s="147"/>
      <c r="B178" s="147"/>
      <c r="C178" s="147"/>
      <c r="D178" s="147"/>
      <c r="E178" s="147"/>
      <c r="F178" s="147"/>
      <c r="G178" s="147"/>
      <c r="H178" s="147"/>
      <c r="I178" s="147"/>
    </row>
    <row r="179" spans="1:9" ht="15" customHeight="1">
      <c r="A179" s="147"/>
      <c r="B179" s="147"/>
      <c r="C179" s="147"/>
      <c r="D179" s="147"/>
      <c r="E179" s="147"/>
      <c r="F179" s="147"/>
      <c r="G179" s="147"/>
      <c r="H179" s="147"/>
      <c r="I179" s="147"/>
    </row>
    <row r="180" spans="1:9" ht="15" customHeight="1">
      <c r="A180" s="147"/>
      <c r="B180" s="147"/>
      <c r="C180" s="147"/>
      <c r="D180" s="147"/>
      <c r="E180" s="147"/>
      <c r="F180" s="147"/>
      <c r="G180" s="147"/>
      <c r="H180" s="147"/>
      <c r="I180" s="147"/>
    </row>
    <row r="181" spans="1:9" ht="15" customHeight="1">
      <c r="A181" s="147"/>
      <c r="B181" s="147"/>
      <c r="C181" s="147"/>
      <c r="D181" s="147"/>
      <c r="E181" s="147"/>
      <c r="F181" s="147"/>
      <c r="G181" s="147"/>
      <c r="H181" s="147"/>
      <c r="I181" s="147"/>
    </row>
    <row r="182" spans="1:9" ht="15" customHeight="1">
      <c r="A182" s="147"/>
      <c r="B182" s="147"/>
      <c r="C182" s="147"/>
      <c r="D182" s="147"/>
      <c r="E182" s="147"/>
      <c r="F182" s="147"/>
      <c r="G182" s="147"/>
      <c r="H182" s="147"/>
      <c r="I182" s="147"/>
    </row>
    <row r="183" spans="1:9" ht="15" customHeight="1">
      <c r="A183" s="147"/>
      <c r="B183" s="147"/>
      <c r="C183" s="147"/>
      <c r="D183" s="147"/>
      <c r="E183" s="147"/>
      <c r="F183" s="147"/>
      <c r="G183" s="147"/>
      <c r="H183" s="147"/>
      <c r="I183" s="147"/>
    </row>
    <row r="184" spans="1:9" ht="15" customHeight="1">
      <c r="A184" s="147"/>
      <c r="B184" s="147"/>
      <c r="C184" s="147"/>
      <c r="D184" s="147"/>
      <c r="E184" s="147"/>
      <c r="F184" s="147"/>
      <c r="G184" s="147"/>
      <c r="H184" s="147"/>
      <c r="I184" s="147"/>
    </row>
    <row r="185" spans="1:9" ht="15" customHeight="1">
      <c r="A185" s="147"/>
      <c r="B185" s="147"/>
      <c r="C185" s="147"/>
      <c r="D185" s="147"/>
      <c r="E185" s="147"/>
      <c r="F185" s="147"/>
      <c r="G185" s="147"/>
      <c r="H185" s="147"/>
      <c r="I185" s="147"/>
    </row>
    <row r="186" spans="1:9" ht="15" customHeight="1">
      <c r="A186" s="147"/>
      <c r="B186" s="147"/>
      <c r="C186" s="147"/>
      <c r="D186" s="147"/>
      <c r="E186" s="147"/>
      <c r="F186" s="147"/>
      <c r="G186" s="147"/>
      <c r="H186" s="147"/>
      <c r="I186" s="147"/>
    </row>
    <row r="187" spans="1:9" ht="15" customHeight="1">
      <c r="A187" s="147"/>
      <c r="B187" s="147"/>
      <c r="C187" s="147"/>
      <c r="D187" s="147"/>
      <c r="E187" s="147"/>
      <c r="F187" s="147"/>
      <c r="G187" s="147"/>
      <c r="H187" s="147"/>
      <c r="I187" s="147"/>
    </row>
    <row r="188" spans="1:9" ht="15" customHeight="1">
      <c r="A188" s="147"/>
      <c r="B188" s="147"/>
      <c r="C188" s="147"/>
      <c r="D188" s="147"/>
      <c r="E188" s="147"/>
      <c r="F188" s="147"/>
      <c r="G188" s="147"/>
      <c r="H188" s="147"/>
      <c r="I188" s="147"/>
    </row>
    <row r="189" spans="1:9" ht="15" customHeight="1">
      <c r="A189" s="147"/>
      <c r="B189" s="147"/>
      <c r="C189" s="147"/>
      <c r="D189" s="147"/>
      <c r="E189" s="147"/>
      <c r="F189" s="147"/>
      <c r="G189" s="147"/>
      <c r="H189" s="147"/>
      <c r="I189" s="147"/>
    </row>
    <row r="190" spans="1:9" ht="15" customHeight="1">
      <c r="A190" s="147"/>
      <c r="B190" s="147"/>
      <c r="C190" s="147"/>
      <c r="D190" s="147"/>
      <c r="E190" s="147"/>
      <c r="F190" s="147"/>
      <c r="G190" s="147"/>
      <c r="H190" s="147"/>
      <c r="I190" s="147"/>
    </row>
    <row r="191" spans="1:9" ht="15" customHeight="1">
      <c r="A191" s="147"/>
      <c r="B191" s="147"/>
      <c r="C191" s="147"/>
      <c r="D191" s="147"/>
      <c r="E191" s="147"/>
      <c r="F191" s="147"/>
      <c r="G191" s="147"/>
      <c r="H191" s="147"/>
      <c r="I191" s="147"/>
    </row>
    <row r="192" spans="1:9" ht="15" customHeight="1">
      <c r="A192" s="147"/>
      <c r="B192" s="147"/>
      <c r="C192" s="147"/>
      <c r="D192" s="147"/>
      <c r="E192" s="147"/>
      <c r="F192" s="147"/>
      <c r="G192" s="147"/>
      <c r="H192" s="147"/>
      <c r="I192" s="147"/>
    </row>
    <row r="193" spans="1:9" ht="15" customHeight="1">
      <c r="A193" s="147"/>
      <c r="B193" s="147"/>
      <c r="C193" s="147"/>
      <c r="D193" s="147"/>
      <c r="E193" s="147"/>
      <c r="F193" s="147"/>
      <c r="G193" s="147"/>
      <c r="H193" s="147"/>
      <c r="I193" s="147"/>
    </row>
    <row r="194" spans="1:9" ht="15" customHeight="1">
      <c r="A194" s="147"/>
      <c r="B194" s="147"/>
      <c r="C194" s="147"/>
      <c r="D194" s="147"/>
      <c r="E194" s="147"/>
      <c r="F194" s="147"/>
      <c r="G194" s="147"/>
      <c r="H194" s="147"/>
      <c r="I194" s="147"/>
    </row>
    <row r="195" spans="1:9" ht="15" customHeight="1">
      <c r="A195" s="147"/>
      <c r="B195" s="147"/>
      <c r="C195" s="147"/>
      <c r="D195" s="147"/>
      <c r="E195" s="147"/>
      <c r="F195" s="147"/>
      <c r="G195" s="147"/>
      <c r="H195" s="147"/>
      <c r="I195" s="147"/>
    </row>
    <row r="196" spans="1:9" ht="15" customHeight="1">
      <c r="A196" s="147"/>
      <c r="B196" s="147"/>
      <c r="C196" s="147"/>
      <c r="D196" s="147"/>
      <c r="E196" s="147"/>
      <c r="F196" s="147"/>
      <c r="G196" s="147"/>
      <c r="H196" s="147"/>
      <c r="I196" s="147"/>
    </row>
    <row r="197" spans="1:9" ht="15" customHeight="1">
      <c r="A197" s="147"/>
      <c r="B197" s="147"/>
      <c r="C197" s="147"/>
      <c r="D197" s="147"/>
      <c r="E197" s="147"/>
      <c r="F197" s="147"/>
      <c r="G197" s="147"/>
      <c r="H197" s="147"/>
      <c r="I197" s="147"/>
    </row>
    <row r="198" spans="1:9" ht="15" customHeight="1">
      <c r="A198" s="147"/>
      <c r="B198" s="147"/>
      <c r="C198" s="147"/>
      <c r="D198" s="147"/>
      <c r="E198" s="147"/>
      <c r="F198" s="147"/>
      <c r="G198" s="147"/>
      <c r="H198" s="147"/>
      <c r="I198" s="147"/>
    </row>
    <row r="199" spans="1:9" ht="15" customHeight="1">
      <c r="A199" s="147"/>
      <c r="B199" s="147"/>
      <c r="C199" s="147"/>
      <c r="D199" s="147"/>
      <c r="E199" s="147"/>
      <c r="F199" s="147"/>
      <c r="G199" s="147"/>
      <c r="H199" s="147"/>
      <c r="I199" s="147"/>
    </row>
    <row r="200" spans="1:9" ht="15" customHeight="1">
      <c r="A200" s="147"/>
      <c r="B200" s="147"/>
      <c r="C200" s="147"/>
      <c r="D200" s="147"/>
      <c r="E200" s="147"/>
      <c r="F200" s="147"/>
      <c r="G200" s="147"/>
      <c r="H200" s="147"/>
      <c r="I200" s="147"/>
    </row>
    <row r="201" spans="1:9" ht="15" customHeight="1">
      <c r="A201" s="147"/>
      <c r="B201" s="147"/>
      <c r="C201" s="147"/>
      <c r="D201" s="147"/>
      <c r="E201" s="147"/>
      <c r="F201" s="147"/>
      <c r="G201" s="147"/>
      <c r="H201" s="147"/>
      <c r="I201" s="147"/>
    </row>
    <row r="202" spans="1:9" ht="15" customHeight="1">
      <c r="A202" s="147"/>
      <c r="B202" s="147"/>
      <c r="C202" s="147"/>
      <c r="D202" s="147"/>
      <c r="E202" s="147"/>
      <c r="F202" s="147"/>
      <c r="G202" s="147"/>
      <c r="H202" s="147"/>
      <c r="I202" s="147"/>
    </row>
    <row r="203" spans="1:9" ht="15" customHeight="1">
      <c r="A203" s="147"/>
      <c r="B203" s="147"/>
      <c r="C203" s="147"/>
      <c r="D203" s="147"/>
      <c r="E203" s="147"/>
      <c r="F203" s="147"/>
      <c r="G203" s="147"/>
      <c r="H203" s="147"/>
      <c r="I203" s="147"/>
    </row>
    <row r="204" spans="1:9" ht="15" customHeight="1">
      <c r="A204" s="147"/>
      <c r="B204" s="147"/>
      <c r="C204" s="147"/>
      <c r="D204" s="147"/>
      <c r="E204" s="147"/>
      <c r="F204" s="147"/>
      <c r="G204" s="147"/>
      <c r="H204" s="147"/>
      <c r="I204" s="147"/>
    </row>
    <row r="205" spans="1:9" ht="15" customHeight="1">
      <c r="A205" s="147"/>
      <c r="B205" s="147"/>
      <c r="C205" s="147"/>
      <c r="D205" s="147"/>
      <c r="E205" s="147"/>
      <c r="F205" s="147"/>
      <c r="G205" s="147"/>
      <c r="H205" s="147"/>
      <c r="I205" s="147"/>
    </row>
    <row r="206" spans="1:9" ht="15" customHeight="1">
      <c r="A206" s="147"/>
      <c r="B206" s="147"/>
      <c r="C206" s="147"/>
      <c r="D206" s="147"/>
      <c r="E206" s="147"/>
      <c r="F206" s="147"/>
      <c r="G206" s="147"/>
      <c r="H206" s="147"/>
      <c r="I206" s="147"/>
    </row>
    <row r="207" spans="1:9" ht="15" customHeight="1">
      <c r="A207" s="147"/>
      <c r="B207" s="147"/>
      <c r="C207" s="147"/>
      <c r="D207" s="147"/>
      <c r="E207" s="147"/>
      <c r="F207" s="147"/>
      <c r="G207" s="147"/>
      <c r="H207" s="147"/>
      <c r="I207" s="147"/>
    </row>
    <row r="208" spans="1:9" ht="15" customHeight="1">
      <c r="A208" s="147"/>
      <c r="B208" s="147"/>
      <c r="C208" s="147"/>
      <c r="D208" s="147"/>
      <c r="E208" s="147"/>
      <c r="F208" s="147"/>
      <c r="G208" s="147"/>
      <c r="H208" s="147"/>
      <c r="I208" s="147"/>
    </row>
    <row r="209" spans="1:9" ht="15" customHeight="1">
      <c r="A209" s="147"/>
      <c r="B209" s="147"/>
      <c r="C209" s="147"/>
      <c r="D209" s="147"/>
      <c r="E209" s="147"/>
      <c r="F209" s="147"/>
      <c r="G209" s="147"/>
      <c r="H209" s="147"/>
      <c r="I209" s="147"/>
    </row>
    <row r="210" spans="1:9" ht="15" customHeight="1">
      <c r="A210" s="147"/>
      <c r="B210" s="147"/>
      <c r="C210" s="147"/>
      <c r="D210" s="147"/>
      <c r="E210" s="147"/>
      <c r="F210" s="147"/>
      <c r="G210" s="147"/>
      <c r="H210" s="147"/>
      <c r="I210" s="147"/>
    </row>
    <row r="211" spans="1:9" ht="15" customHeight="1">
      <c r="A211" s="147"/>
      <c r="B211" s="147"/>
      <c r="C211" s="147"/>
      <c r="D211" s="147"/>
      <c r="E211" s="147"/>
      <c r="F211" s="147"/>
      <c r="G211" s="147"/>
      <c r="H211" s="147"/>
      <c r="I211" s="147"/>
    </row>
    <row r="212" spans="1:9" ht="15" customHeight="1">
      <c r="A212" s="147"/>
      <c r="B212" s="147"/>
      <c r="C212" s="147"/>
      <c r="D212" s="147"/>
      <c r="E212" s="147"/>
      <c r="F212" s="147"/>
      <c r="G212" s="147"/>
      <c r="H212" s="147"/>
      <c r="I212" s="147"/>
    </row>
    <row r="213" spans="1:9" ht="15" customHeight="1">
      <c r="A213" s="147"/>
      <c r="B213" s="147"/>
      <c r="C213" s="147"/>
      <c r="D213" s="147"/>
      <c r="E213" s="147"/>
      <c r="F213" s="147"/>
      <c r="G213" s="147"/>
      <c r="H213" s="147"/>
      <c r="I213" s="147"/>
    </row>
    <row r="214" spans="1:9" ht="15" customHeight="1">
      <c r="A214" s="147"/>
      <c r="B214" s="147"/>
      <c r="C214" s="147"/>
      <c r="D214" s="147"/>
      <c r="E214" s="147"/>
      <c r="F214" s="147"/>
      <c r="G214" s="147"/>
      <c r="H214" s="147"/>
      <c r="I214" s="147"/>
    </row>
    <row r="215" spans="1:9" ht="15" customHeight="1">
      <c r="A215" s="147"/>
      <c r="B215" s="147"/>
      <c r="C215" s="147"/>
      <c r="D215" s="147"/>
      <c r="E215" s="147"/>
      <c r="F215" s="147"/>
      <c r="G215" s="147"/>
      <c r="H215" s="147"/>
      <c r="I215" s="147"/>
    </row>
    <row r="216" spans="1:9" ht="15" customHeight="1">
      <c r="A216" s="147"/>
      <c r="B216" s="147"/>
      <c r="C216" s="147"/>
      <c r="D216" s="147"/>
      <c r="E216" s="147"/>
      <c r="F216" s="147"/>
      <c r="G216" s="147"/>
      <c r="H216" s="147"/>
      <c r="I216" s="147"/>
    </row>
    <row r="217" spans="1:9" ht="15" customHeight="1">
      <c r="A217" s="147"/>
      <c r="B217" s="147"/>
      <c r="C217" s="147"/>
      <c r="D217" s="147"/>
      <c r="E217" s="147"/>
      <c r="F217" s="147"/>
      <c r="G217" s="147"/>
      <c r="H217" s="147"/>
      <c r="I217" s="147"/>
    </row>
    <row r="218" spans="1:9" ht="15" customHeight="1">
      <c r="A218" s="147"/>
      <c r="B218" s="147"/>
      <c r="C218" s="147"/>
      <c r="D218" s="147"/>
      <c r="E218" s="147"/>
      <c r="F218" s="147"/>
      <c r="G218" s="147"/>
      <c r="H218" s="147"/>
      <c r="I218" s="147"/>
    </row>
    <row r="219" spans="1:9" ht="15" customHeight="1">
      <c r="A219" s="147"/>
      <c r="B219" s="147"/>
      <c r="C219" s="147"/>
      <c r="D219" s="147"/>
      <c r="E219" s="147"/>
      <c r="F219" s="147"/>
      <c r="G219" s="147"/>
      <c r="H219" s="147"/>
      <c r="I219" s="147"/>
    </row>
    <row r="220" spans="1:9" ht="15" customHeight="1">
      <c r="A220" s="147"/>
      <c r="B220" s="147"/>
      <c r="C220" s="147"/>
      <c r="D220" s="147"/>
      <c r="E220" s="147"/>
      <c r="F220" s="147"/>
      <c r="G220" s="147"/>
      <c r="H220" s="147"/>
      <c r="I220" s="147"/>
    </row>
    <row r="221" spans="1:9" ht="15" customHeight="1">
      <c r="A221" s="147"/>
      <c r="B221" s="147"/>
      <c r="C221" s="147"/>
      <c r="D221" s="147"/>
      <c r="E221" s="147"/>
      <c r="F221" s="147"/>
      <c r="G221" s="147"/>
      <c r="H221" s="147"/>
      <c r="I221" s="147"/>
    </row>
    <row r="222" spans="1:9" ht="15" customHeight="1">
      <c r="A222" s="147"/>
      <c r="B222" s="147"/>
      <c r="C222" s="147"/>
      <c r="D222" s="147"/>
      <c r="E222" s="147"/>
      <c r="F222" s="147"/>
      <c r="G222" s="147"/>
      <c r="H222" s="147"/>
      <c r="I222" s="147"/>
    </row>
    <row r="223" spans="1:9" ht="15" customHeight="1">
      <c r="A223" s="147"/>
      <c r="B223" s="147"/>
      <c r="C223" s="147"/>
      <c r="D223" s="147"/>
      <c r="E223" s="147"/>
      <c r="F223" s="147"/>
      <c r="G223" s="147"/>
      <c r="H223" s="147"/>
      <c r="I223" s="147"/>
    </row>
    <row r="224" spans="1:9" ht="15" customHeight="1">
      <c r="A224" s="147"/>
      <c r="B224" s="147"/>
      <c r="C224" s="147"/>
      <c r="D224" s="147"/>
      <c r="E224" s="147"/>
      <c r="F224" s="147"/>
      <c r="G224" s="147"/>
      <c r="H224" s="147"/>
      <c r="I224" s="147"/>
    </row>
    <row r="225" spans="1:9" ht="15" customHeight="1">
      <c r="A225" s="147"/>
      <c r="B225" s="147"/>
      <c r="C225" s="147"/>
      <c r="D225" s="147"/>
      <c r="E225" s="147"/>
      <c r="F225" s="147"/>
      <c r="G225" s="147"/>
      <c r="H225" s="147"/>
      <c r="I225" s="147"/>
    </row>
    <row r="226" spans="1:9" ht="15" customHeight="1">
      <c r="A226" s="147"/>
      <c r="B226" s="147"/>
      <c r="C226" s="147"/>
      <c r="D226" s="147"/>
      <c r="E226" s="147"/>
      <c r="F226" s="147"/>
      <c r="G226" s="147"/>
      <c r="H226" s="147"/>
      <c r="I226" s="147"/>
    </row>
    <row r="227" spans="1:9" ht="15" customHeight="1">
      <c r="A227" s="147"/>
      <c r="B227" s="147"/>
      <c r="C227" s="147"/>
      <c r="D227" s="147"/>
      <c r="E227" s="147"/>
      <c r="F227" s="147"/>
      <c r="G227" s="147"/>
      <c r="H227" s="147"/>
      <c r="I227" s="147"/>
    </row>
    <row r="228" spans="1:9" ht="15" customHeight="1">
      <c r="A228" s="147"/>
      <c r="B228" s="147"/>
      <c r="C228" s="147"/>
      <c r="D228" s="147"/>
      <c r="E228" s="147"/>
      <c r="F228" s="147"/>
      <c r="G228" s="147"/>
      <c r="H228" s="147"/>
      <c r="I228" s="147"/>
    </row>
    <row r="229" spans="1:9" ht="15" customHeight="1">
      <c r="A229" s="147"/>
      <c r="B229" s="147"/>
      <c r="C229" s="147"/>
      <c r="D229" s="147"/>
      <c r="E229" s="147"/>
      <c r="F229" s="147"/>
      <c r="G229" s="147"/>
      <c r="H229" s="147"/>
      <c r="I229" s="147"/>
    </row>
    <row r="230" spans="1:9" ht="15" customHeight="1">
      <c r="A230" s="147"/>
      <c r="B230" s="147"/>
      <c r="C230" s="147"/>
      <c r="D230" s="147"/>
      <c r="E230" s="147"/>
      <c r="F230" s="147"/>
      <c r="G230" s="147"/>
      <c r="H230" s="147"/>
      <c r="I230" s="147"/>
    </row>
    <row r="231" spans="1:9" ht="15" customHeight="1">
      <c r="A231" s="147"/>
      <c r="B231" s="147"/>
      <c r="C231" s="147"/>
      <c r="D231" s="147"/>
      <c r="E231" s="147"/>
      <c r="F231" s="147"/>
      <c r="G231" s="147"/>
      <c r="H231" s="147"/>
      <c r="I231" s="147"/>
    </row>
    <row r="232" spans="1:9" ht="15" customHeight="1">
      <c r="A232" s="147"/>
      <c r="B232" s="147"/>
      <c r="C232" s="147"/>
      <c r="D232" s="147"/>
      <c r="E232" s="147"/>
      <c r="F232" s="147"/>
      <c r="G232" s="147"/>
      <c r="H232" s="147"/>
      <c r="I232" s="147"/>
    </row>
    <row r="233" spans="1:9" ht="15" customHeight="1">
      <c r="A233" s="147"/>
      <c r="B233" s="147"/>
      <c r="C233" s="147"/>
      <c r="D233" s="147"/>
      <c r="E233" s="147"/>
      <c r="F233" s="147"/>
      <c r="G233" s="147"/>
      <c r="H233" s="147"/>
      <c r="I233" s="147"/>
    </row>
    <row r="234" spans="1:9" ht="15" customHeight="1">
      <c r="A234" s="147"/>
      <c r="B234" s="147"/>
      <c r="C234" s="147"/>
      <c r="D234" s="147"/>
      <c r="E234" s="147"/>
      <c r="F234" s="147"/>
      <c r="G234" s="147"/>
      <c r="H234" s="147"/>
      <c r="I234" s="147"/>
    </row>
    <row r="235" spans="1:9" ht="15" customHeight="1">
      <c r="A235" s="147"/>
      <c r="B235" s="147"/>
      <c r="C235" s="147"/>
      <c r="D235" s="147"/>
      <c r="E235" s="147"/>
      <c r="F235" s="147"/>
      <c r="G235" s="147"/>
      <c r="H235" s="147"/>
      <c r="I235" s="147"/>
    </row>
    <row r="236" spans="1:9" ht="15" customHeight="1">
      <c r="A236" s="147"/>
      <c r="B236" s="147"/>
      <c r="C236" s="147"/>
      <c r="D236" s="147"/>
      <c r="E236" s="147"/>
      <c r="F236" s="147"/>
      <c r="G236" s="147"/>
      <c r="H236" s="147"/>
      <c r="I236" s="147"/>
    </row>
    <row r="237" spans="1:9" ht="15" customHeight="1">
      <c r="A237" s="147"/>
      <c r="B237" s="147"/>
      <c r="C237" s="147"/>
      <c r="D237" s="147"/>
      <c r="E237" s="147"/>
      <c r="F237" s="147"/>
      <c r="G237" s="147"/>
      <c r="H237" s="147"/>
      <c r="I237" s="147"/>
    </row>
    <row r="238" spans="1:9" ht="15" customHeight="1">
      <c r="A238" s="147"/>
      <c r="B238" s="147"/>
      <c r="C238" s="147"/>
      <c r="D238" s="147"/>
      <c r="E238" s="147"/>
      <c r="F238" s="147"/>
      <c r="G238" s="147"/>
      <c r="H238" s="147"/>
      <c r="I238" s="147"/>
    </row>
    <row r="239" spans="1:9" ht="15" customHeight="1">
      <c r="A239" s="147"/>
      <c r="B239" s="147"/>
      <c r="C239" s="147"/>
      <c r="D239" s="147"/>
      <c r="E239" s="147"/>
      <c r="F239" s="147"/>
      <c r="G239" s="147"/>
      <c r="H239" s="147"/>
      <c r="I239" s="147"/>
    </row>
    <row r="240" spans="1:9" ht="15" customHeight="1">
      <c r="A240" s="147"/>
      <c r="B240" s="147"/>
      <c r="C240" s="147"/>
      <c r="D240" s="147"/>
      <c r="E240" s="147"/>
      <c r="F240" s="147"/>
      <c r="G240" s="147"/>
      <c r="H240" s="147"/>
      <c r="I240" s="147"/>
    </row>
    <row r="241" spans="1:9" ht="15" customHeight="1">
      <c r="A241" s="147"/>
      <c r="B241" s="147"/>
      <c r="C241" s="147"/>
      <c r="D241" s="147"/>
      <c r="E241" s="147"/>
      <c r="F241" s="147"/>
      <c r="G241" s="147"/>
      <c r="H241" s="147"/>
      <c r="I241" s="147"/>
    </row>
    <row r="242" spans="1:9" ht="15" customHeight="1">
      <c r="A242" s="147"/>
      <c r="B242" s="147"/>
      <c r="C242" s="147"/>
      <c r="D242" s="147"/>
      <c r="E242" s="147"/>
      <c r="F242" s="147"/>
      <c r="G242" s="147"/>
      <c r="H242" s="147"/>
      <c r="I242" s="147"/>
    </row>
    <row r="243" spans="1:9" ht="15" customHeight="1">
      <c r="A243" s="147"/>
      <c r="B243" s="147"/>
      <c r="C243" s="147"/>
      <c r="D243" s="147"/>
      <c r="E243" s="147"/>
      <c r="F243" s="147"/>
      <c r="G243" s="147"/>
      <c r="H243" s="147"/>
      <c r="I243" s="147"/>
    </row>
    <row r="244" spans="1:9" ht="15" customHeight="1">
      <c r="A244" s="147"/>
      <c r="B244" s="147"/>
      <c r="C244" s="147"/>
      <c r="D244" s="147"/>
      <c r="E244" s="147"/>
      <c r="F244" s="147"/>
      <c r="G244" s="147"/>
      <c r="H244" s="147"/>
      <c r="I244" s="147"/>
    </row>
    <row r="245" spans="1:9" ht="15" customHeight="1">
      <c r="A245" s="147"/>
      <c r="B245" s="147"/>
      <c r="C245" s="147"/>
      <c r="D245" s="147"/>
      <c r="E245" s="147"/>
      <c r="F245" s="147"/>
      <c r="G245" s="147"/>
      <c r="H245" s="147"/>
      <c r="I245" s="147"/>
    </row>
    <row r="246" spans="1:9" ht="15" customHeight="1">
      <c r="A246" s="147"/>
      <c r="B246" s="147"/>
      <c r="C246" s="147"/>
      <c r="D246" s="147"/>
      <c r="E246" s="147"/>
      <c r="F246" s="147"/>
      <c r="G246" s="147"/>
      <c r="H246" s="147"/>
      <c r="I246" s="147"/>
    </row>
    <row r="247" spans="1:9" ht="15" customHeight="1">
      <c r="A247" s="147"/>
      <c r="B247" s="147"/>
      <c r="C247" s="147"/>
      <c r="D247" s="147"/>
      <c r="E247" s="147"/>
      <c r="F247" s="147"/>
      <c r="G247" s="147"/>
      <c r="H247" s="147"/>
      <c r="I247" s="147"/>
    </row>
    <row r="248" spans="1:9" ht="15" customHeight="1">
      <c r="A248" s="147"/>
      <c r="B248" s="147"/>
      <c r="C248" s="147"/>
      <c r="D248" s="147"/>
      <c r="E248" s="147"/>
      <c r="F248" s="147"/>
      <c r="G248" s="147"/>
      <c r="H248" s="147"/>
      <c r="I248" s="147"/>
    </row>
    <row r="249" spans="1:9" ht="15" customHeight="1">
      <c r="A249" s="147"/>
      <c r="B249" s="147"/>
      <c r="C249" s="147"/>
      <c r="D249" s="147"/>
      <c r="E249" s="147"/>
      <c r="F249" s="147"/>
      <c r="G249" s="147"/>
      <c r="H249" s="147"/>
      <c r="I249" s="147"/>
    </row>
    <row r="250" spans="1:9" ht="15" customHeight="1">
      <c r="A250" s="147"/>
      <c r="B250" s="147"/>
      <c r="C250" s="147"/>
      <c r="D250" s="147"/>
      <c r="E250" s="147"/>
      <c r="F250" s="147"/>
      <c r="G250" s="147"/>
      <c r="H250" s="147"/>
      <c r="I250" s="147"/>
    </row>
    <row r="251" spans="1:9" ht="15" customHeight="1">
      <c r="A251" s="147"/>
      <c r="B251" s="147"/>
      <c r="C251" s="147"/>
      <c r="D251" s="147"/>
      <c r="E251" s="147"/>
      <c r="F251" s="147"/>
      <c r="G251" s="147"/>
      <c r="H251" s="147"/>
      <c r="I251" s="147"/>
    </row>
    <row r="252" spans="1:9" ht="15" customHeight="1">
      <c r="A252" s="147"/>
      <c r="B252" s="147"/>
      <c r="C252" s="147"/>
      <c r="D252" s="147"/>
      <c r="E252" s="147"/>
      <c r="F252" s="147"/>
      <c r="G252" s="147"/>
      <c r="H252" s="147"/>
      <c r="I252" s="147"/>
    </row>
    <row r="253" spans="1:9" ht="15" customHeight="1">
      <c r="A253" s="147"/>
      <c r="B253" s="147"/>
      <c r="C253" s="147"/>
      <c r="D253" s="147"/>
      <c r="E253" s="147"/>
      <c r="F253" s="147"/>
      <c r="G253" s="147"/>
      <c r="H253" s="147"/>
      <c r="I253" s="147"/>
    </row>
    <row r="254" spans="1:9" ht="15" customHeight="1">
      <c r="A254" s="147"/>
      <c r="B254" s="147"/>
      <c r="C254" s="147"/>
      <c r="D254" s="147"/>
      <c r="E254" s="147"/>
      <c r="F254" s="147"/>
      <c r="G254" s="147"/>
      <c r="H254" s="147"/>
      <c r="I254" s="147"/>
    </row>
    <row r="255" spans="1:9" ht="15" customHeight="1">
      <c r="A255" s="147"/>
      <c r="B255" s="147"/>
      <c r="C255" s="147"/>
      <c r="D255" s="147"/>
      <c r="E255" s="147"/>
      <c r="F255" s="147"/>
      <c r="G255" s="147"/>
      <c r="H255" s="147"/>
      <c r="I255" s="147"/>
    </row>
    <row r="256" spans="1:9" ht="15" customHeight="1">
      <c r="A256" s="147"/>
      <c r="B256" s="147"/>
      <c r="C256" s="147"/>
      <c r="D256" s="147"/>
      <c r="E256" s="147"/>
      <c r="F256" s="147"/>
      <c r="G256" s="147"/>
      <c r="H256" s="147"/>
      <c r="I256" s="147"/>
    </row>
    <row r="257" spans="1:9" ht="15" customHeight="1">
      <c r="A257" s="147"/>
      <c r="B257" s="147"/>
      <c r="C257" s="147"/>
      <c r="D257" s="147"/>
      <c r="E257" s="147"/>
      <c r="F257" s="147"/>
      <c r="G257" s="147"/>
      <c r="H257" s="147"/>
      <c r="I257" s="147"/>
    </row>
    <row r="258" spans="1:9" ht="15" customHeight="1">
      <c r="A258" s="147"/>
      <c r="B258" s="147"/>
      <c r="C258" s="147"/>
      <c r="D258" s="147"/>
      <c r="E258" s="147"/>
      <c r="F258" s="147"/>
      <c r="G258" s="147"/>
      <c r="H258" s="147"/>
      <c r="I258" s="147"/>
    </row>
    <row r="259" spans="1:9" ht="15" customHeight="1">
      <c r="A259" s="147"/>
      <c r="B259" s="147"/>
      <c r="C259" s="147"/>
      <c r="D259" s="147"/>
      <c r="E259" s="147"/>
      <c r="F259" s="147"/>
      <c r="G259" s="147"/>
      <c r="H259" s="147"/>
      <c r="I259" s="147"/>
    </row>
    <row r="260" spans="1:9" ht="15" customHeight="1">
      <c r="A260" s="147"/>
      <c r="B260" s="147"/>
      <c r="C260" s="147"/>
      <c r="D260" s="147"/>
      <c r="E260" s="147"/>
      <c r="F260" s="147"/>
      <c r="G260" s="147"/>
      <c r="H260" s="147"/>
      <c r="I260" s="147"/>
    </row>
    <row r="261" spans="1:9" ht="15" customHeight="1">
      <c r="A261" s="147"/>
      <c r="B261" s="147"/>
      <c r="C261" s="147"/>
      <c r="D261" s="147"/>
      <c r="E261" s="147"/>
      <c r="F261" s="147"/>
      <c r="G261" s="147"/>
      <c r="H261" s="147"/>
      <c r="I261" s="147"/>
    </row>
    <row r="262" spans="1:9" ht="15" customHeight="1">
      <c r="A262" s="147"/>
      <c r="B262" s="147"/>
      <c r="C262" s="147"/>
      <c r="D262" s="147"/>
      <c r="E262" s="147"/>
      <c r="F262" s="147"/>
      <c r="G262" s="147"/>
      <c r="H262" s="147"/>
      <c r="I262" s="147"/>
    </row>
    <row r="263" spans="1:9" ht="15" customHeight="1">
      <c r="A263" s="147"/>
      <c r="B263" s="147"/>
      <c r="C263" s="147"/>
      <c r="D263" s="147"/>
      <c r="E263" s="147"/>
      <c r="F263" s="147"/>
      <c r="G263" s="147"/>
      <c r="H263" s="147"/>
      <c r="I263" s="147"/>
    </row>
    <row r="264" spans="1:9" ht="15" customHeight="1">
      <c r="A264" s="147"/>
      <c r="B264" s="147"/>
      <c r="C264" s="147"/>
      <c r="D264" s="147"/>
      <c r="E264" s="147"/>
      <c r="F264" s="147"/>
      <c r="G264" s="147"/>
      <c r="H264" s="147"/>
      <c r="I264" s="147"/>
    </row>
    <row r="265" spans="1:9" ht="15" customHeight="1">
      <c r="A265" s="147"/>
      <c r="B265" s="147"/>
      <c r="C265" s="147"/>
      <c r="D265" s="147"/>
      <c r="E265" s="147"/>
      <c r="F265" s="147"/>
      <c r="G265" s="147"/>
      <c r="H265" s="147"/>
      <c r="I265" s="147"/>
    </row>
    <row r="266" spans="1:9" ht="15" customHeight="1">
      <c r="A266" s="147"/>
      <c r="B266" s="147"/>
      <c r="C266" s="147"/>
      <c r="D266" s="147"/>
      <c r="E266" s="147"/>
      <c r="F266" s="147"/>
      <c r="G266" s="147"/>
      <c r="H266" s="147"/>
      <c r="I266" s="147"/>
    </row>
    <row r="267" spans="1:9" ht="15" customHeight="1">
      <c r="A267" s="147"/>
      <c r="B267" s="147"/>
      <c r="C267" s="147"/>
      <c r="D267" s="147"/>
      <c r="E267" s="147"/>
      <c r="F267" s="147"/>
      <c r="G267" s="147"/>
      <c r="H267" s="147"/>
      <c r="I267" s="147"/>
    </row>
    <row r="268" spans="1:9" ht="15" customHeight="1">
      <c r="A268" s="147"/>
      <c r="B268" s="147"/>
      <c r="C268" s="147"/>
      <c r="D268" s="147"/>
      <c r="E268" s="147"/>
      <c r="F268" s="147"/>
      <c r="G268" s="147"/>
      <c r="H268" s="147"/>
      <c r="I268" s="147"/>
    </row>
    <row r="269" spans="1:9" ht="15" customHeight="1">
      <c r="A269" s="147"/>
      <c r="B269" s="147"/>
      <c r="C269" s="147"/>
      <c r="D269" s="147"/>
      <c r="E269" s="147"/>
      <c r="F269" s="147"/>
      <c r="G269" s="147"/>
      <c r="H269" s="147"/>
      <c r="I269" s="147"/>
    </row>
    <row r="270" spans="1:9" ht="15" customHeight="1">
      <c r="A270" s="147"/>
      <c r="B270" s="147"/>
      <c r="C270" s="147"/>
      <c r="D270" s="147"/>
      <c r="E270" s="147"/>
      <c r="F270" s="147"/>
      <c r="G270" s="147"/>
      <c r="H270" s="147"/>
      <c r="I270" s="147"/>
    </row>
    <row r="271" spans="1:9" ht="15" customHeight="1">
      <c r="A271" s="147"/>
      <c r="B271" s="147"/>
      <c r="C271" s="147"/>
      <c r="D271" s="147"/>
      <c r="E271" s="147"/>
      <c r="F271" s="147"/>
      <c r="G271" s="147"/>
      <c r="H271" s="147"/>
      <c r="I271" s="147"/>
    </row>
    <row r="272" spans="1:9" ht="15" customHeight="1">
      <c r="A272" s="147"/>
      <c r="B272" s="147"/>
      <c r="C272" s="147"/>
      <c r="D272" s="147"/>
      <c r="E272" s="147"/>
      <c r="F272" s="147"/>
      <c r="G272" s="147"/>
      <c r="H272" s="147"/>
      <c r="I272" s="147"/>
    </row>
    <row r="273" spans="1:9" ht="15" customHeight="1">
      <c r="A273" s="147"/>
      <c r="B273" s="147"/>
      <c r="C273" s="147"/>
      <c r="D273" s="147"/>
      <c r="E273" s="147"/>
      <c r="F273" s="147"/>
      <c r="G273" s="147"/>
      <c r="H273" s="147"/>
      <c r="I273" s="147"/>
    </row>
    <row r="274" spans="1:9" ht="15" customHeight="1">
      <c r="A274" s="147"/>
      <c r="B274" s="147"/>
      <c r="C274" s="147"/>
      <c r="D274" s="147"/>
      <c r="E274" s="147"/>
      <c r="F274" s="147"/>
      <c r="G274" s="147"/>
      <c r="H274" s="147"/>
      <c r="I274" s="147"/>
    </row>
    <row r="275" spans="1:9" ht="15" customHeight="1">
      <c r="A275" s="147"/>
      <c r="B275" s="147"/>
      <c r="C275" s="147"/>
      <c r="D275" s="147"/>
      <c r="E275" s="147"/>
      <c r="F275" s="147"/>
      <c r="G275" s="147"/>
      <c r="H275" s="147"/>
      <c r="I275" s="147"/>
    </row>
    <row r="276" spans="1:9" ht="15" customHeight="1">
      <c r="A276" s="147"/>
      <c r="B276" s="147"/>
      <c r="C276" s="147"/>
      <c r="D276" s="147"/>
      <c r="E276" s="147"/>
      <c r="F276" s="147"/>
      <c r="G276" s="147"/>
      <c r="H276" s="147"/>
      <c r="I276" s="147"/>
    </row>
    <row r="277" spans="1:9" ht="15" customHeight="1">
      <c r="A277" s="147"/>
      <c r="B277" s="147"/>
      <c r="C277" s="147"/>
      <c r="D277" s="147"/>
      <c r="E277" s="147"/>
      <c r="F277" s="147"/>
      <c r="G277" s="147"/>
      <c r="H277" s="147"/>
      <c r="I277" s="147"/>
    </row>
    <row r="278" spans="1:9" ht="15" customHeight="1">
      <c r="A278" s="147"/>
      <c r="B278" s="147"/>
      <c r="C278" s="147"/>
      <c r="D278" s="147"/>
      <c r="E278" s="147"/>
      <c r="F278" s="147"/>
      <c r="G278" s="147"/>
      <c r="H278" s="147"/>
      <c r="I278" s="147"/>
    </row>
    <row r="279" spans="1:9" ht="15" customHeight="1">
      <c r="A279" s="147"/>
      <c r="B279" s="147"/>
      <c r="C279" s="147"/>
      <c r="D279" s="147"/>
      <c r="E279" s="147"/>
      <c r="F279" s="147"/>
      <c r="G279" s="147"/>
      <c r="H279" s="147"/>
      <c r="I279" s="147"/>
    </row>
    <row r="280" spans="1:9" ht="15" customHeight="1">
      <c r="A280" s="147"/>
      <c r="B280" s="147"/>
      <c r="C280" s="147"/>
      <c r="D280" s="147"/>
      <c r="E280" s="147"/>
      <c r="F280" s="147"/>
      <c r="G280" s="147"/>
      <c r="H280" s="147"/>
      <c r="I280" s="147"/>
    </row>
    <row r="281" spans="1:9" ht="15" customHeight="1">
      <c r="A281" s="147"/>
      <c r="B281" s="147"/>
      <c r="C281" s="147"/>
      <c r="D281" s="147"/>
      <c r="E281" s="147"/>
      <c r="F281" s="147"/>
      <c r="G281" s="147"/>
      <c r="H281" s="147"/>
      <c r="I281" s="147"/>
    </row>
    <row r="282" spans="1:9" ht="15" customHeight="1">
      <c r="A282" s="147"/>
      <c r="B282" s="147"/>
      <c r="C282" s="147"/>
      <c r="D282" s="147"/>
      <c r="E282" s="147"/>
      <c r="F282" s="147"/>
      <c r="G282" s="147"/>
      <c r="H282" s="147"/>
      <c r="I282" s="147"/>
    </row>
    <row r="283" spans="1:9" ht="15" customHeight="1">
      <c r="A283" s="147"/>
      <c r="B283" s="147"/>
      <c r="C283" s="147"/>
      <c r="D283" s="147"/>
      <c r="E283" s="147"/>
      <c r="F283" s="147"/>
      <c r="G283" s="147"/>
      <c r="H283" s="147"/>
      <c r="I283" s="147"/>
    </row>
    <row r="284" spans="1:9" ht="15" customHeight="1">
      <c r="A284" s="147"/>
      <c r="B284" s="147"/>
      <c r="C284" s="147"/>
      <c r="D284" s="147"/>
      <c r="E284" s="147"/>
      <c r="F284" s="147"/>
      <c r="G284" s="147"/>
      <c r="H284" s="147"/>
      <c r="I284" s="147"/>
    </row>
    <row r="285" spans="1:9" ht="15" customHeight="1">
      <c r="A285" s="147"/>
      <c r="B285" s="147"/>
      <c r="C285" s="147"/>
      <c r="D285" s="147"/>
      <c r="E285" s="147"/>
      <c r="F285" s="147"/>
      <c r="G285" s="147"/>
      <c r="H285" s="147"/>
      <c r="I285" s="147"/>
    </row>
    <row r="286" spans="1:9" ht="15" customHeight="1">
      <c r="A286" s="147"/>
      <c r="B286" s="147"/>
      <c r="C286" s="147"/>
      <c r="D286" s="147"/>
      <c r="E286" s="147"/>
      <c r="F286" s="147"/>
      <c r="G286" s="147"/>
      <c r="H286" s="147"/>
      <c r="I286" s="147"/>
    </row>
    <row r="287" spans="1:9" ht="15" customHeight="1">
      <c r="A287" s="147"/>
      <c r="B287" s="147"/>
      <c r="C287" s="147"/>
      <c r="D287" s="147"/>
      <c r="E287" s="147"/>
      <c r="F287" s="147"/>
      <c r="G287" s="147"/>
      <c r="H287" s="147"/>
      <c r="I287" s="147"/>
    </row>
    <row r="288" spans="1:9" ht="15" customHeight="1">
      <c r="A288" s="147"/>
      <c r="B288" s="147"/>
      <c r="C288" s="147"/>
      <c r="D288" s="147"/>
      <c r="E288" s="147"/>
      <c r="F288" s="147"/>
      <c r="G288" s="147"/>
      <c r="H288" s="147"/>
      <c r="I288" s="147"/>
    </row>
    <row r="289" spans="1:9" ht="15" customHeight="1">
      <c r="A289" s="147"/>
      <c r="B289" s="147"/>
      <c r="C289" s="147"/>
      <c r="D289" s="147"/>
      <c r="E289" s="147"/>
      <c r="F289" s="147"/>
      <c r="G289" s="147"/>
      <c r="H289" s="147"/>
      <c r="I289" s="147"/>
    </row>
    <row r="290" spans="1:9" ht="15" customHeight="1">
      <c r="A290" s="147"/>
      <c r="B290" s="147"/>
      <c r="C290" s="147"/>
      <c r="D290" s="147"/>
      <c r="E290" s="147"/>
      <c r="F290" s="147"/>
      <c r="G290" s="147"/>
      <c r="H290" s="147"/>
      <c r="I290" s="147"/>
    </row>
    <row r="291" spans="1:9" ht="15" customHeight="1">
      <c r="A291" s="147"/>
      <c r="B291" s="147"/>
      <c r="C291" s="147"/>
      <c r="D291" s="147"/>
      <c r="E291" s="147"/>
      <c r="F291" s="147"/>
      <c r="G291" s="147"/>
      <c r="H291" s="147"/>
      <c r="I291" s="147"/>
    </row>
    <row r="292" spans="1:9" ht="15" customHeight="1">
      <c r="A292" s="147"/>
      <c r="B292" s="147"/>
      <c r="C292" s="147"/>
      <c r="D292" s="147"/>
      <c r="E292" s="147"/>
      <c r="F292" s="147"/>
      <c r="G292" s="147"/>
      <c r="H292" s="147"/>
      <c r="I292" s="147"/>
    </row>
    <row r="293" spans="1:9" ht="15" customHeight="1">
      <c r="A293" s="147"/>
      <c r="B293" s="147"/>
      <c r="C293" s="147"/>
      <c r="D293" s="147"/>
      <c r="E293" s="147"/>
      <c r="F293" s="147"/>
      <c r="G293" s="147"/>
      <c r="H293" s="147"/>
      <c r="I293" s="147"/>
    </row>
    <row r="294" spans="1:9" ht="15" customHeight="1">
      <c r="A294" s="147"/>
      <c r="B294" s="147"/>
      <c r="C294" s="147"/>
      <c r="D294" s="147"/>
      <c r="E294" s="147"/>
      <c r="F294" s="147"/>
      <c r="G294" s="147"/>
      <c r="H294" s="147"/>
      <c r="I294" s="147"/>
    </row>
    <row r="295" spans="1:9" ht="15" customHeight="1">
      <c r="A295" s="147"/>
      <c r="B295" s="147"/>
      <c r="C295" s="147"/>
      <c r="D295" s="147"/>
      <c r="E295" s="147"/>
      <c r="F295" s="147"/>
      <c r="G295" s="147"/>
      <c r="H295" s="147"/>
      <c r="I295" s="147"/>
    </row>
    <row r="296" spans="1:9" ht="15" customHeight="1">
      <c r="A296" s="147"/>
      <c r="B296" s="147"/>
      <c r="C296" s="147"/>
      <c r="D296" s="147"/>
      <c r="E296" s="147"/>
      <c r="F296" s="147"/>
      <c r="G296" s="147"/>
      <c r="H296" s="147"/>
      <c r="I296" s="147"/>
    </row>
    <row r="297" spans="1:9" ht="15" customHeight="1">
      <c r="A297" s="147"/>
      <c r="B297" s="147"/>
      <c r="C297" s="147"/>
      <c r="D297" s="147"/>
      <c r="E297" s="147"/>
      <c r="F297" s="147"/>
      <c r="G297" s="147"/>
      <c r="H297" s="147"/>
      <c r="I297" s="147"/>
    </row>
    <row r="298" spans="1:9" ht="15" customHeight="1">
      <c r="A298" s="147"/>
      <c r="B298" s="147"/>
      <c r="C298" s="147"/>
      <c r="D298" s="147"/>
      <c r="E298" s="147"/>
      <c r="F298" s="147"/>
      <c r="G298" s="147"/>
      <c r="H298" s="147"/>
      <c r="I298" s="147"/>
    </row>
    <row r="299" spans="1:9" ht="15" customHeight="1">
      <c r="A299" s="147"/>
      <c r="B299" s="147"/>
      <c r="C299" s="147"/>
      <c r="D299" s="147"/>
      <c r="E299" s="147"/>
      <c r="F299" s="147"/>
      <c r="G299" s="147"/>
      <c r="H299" s="147"/>
      <c r="I299" s="147"/>
    </row>
    <row r="300" spans="1:9" ht="15" customHeight="1">
      <c r="A300" s="147"/>
      <c r="B300" s="147"/>
      <c r="C300" s="147"/>
      <c r="D300" s="147"/>
      <c r="E300" s="147"/>
      <c r="F300" s="147"/>
      <c r="G300" s="147"/>
      <c r="H300" s="147"/>
      <c r="I300" s="147"/>
    </row>
    <row r="301" spans="1:9" ht="15" customHeight="1">
      <c r="A301" s="147"/>
      <c r="B301" s="147"/>
      <c r="C301" s="147"/>
      <c r="D301" s="147"/>
      <c r="E301" s="147"/>
      <c r="F301" s="147"/>
      <c r="G301" s="147"/>
      <c r="H301" s="147"/>
      <c r="I301" s="147"/>
    </row>
    <row r="302" spans="1:9" ht="15" customHeight="1">
      <c r="A302" s="147"/>
      <c r="B302" s="147"/>
      <c r="C302" s="147"/>
      <c r="D302" s="147"/>
      <c r="E302" s="147"/>
      <c r="F302" s="147"/>
      <c r="G302" s="147"/>
      <c r="H302" s="147"/>
      <c r="I302" s="147"/>
    </row>
    <row r="303" spans="1:9" ht="15" customHeight="1">
      <c r="A303" s="147"/>
      <c r="B303" s="147"/>
      <c r="C303" s="147"/>
      <c r="D303" s="147"/>
      <c r="E303" s="147"/>
      <c r="F303" s="147"/>
      <c r="G303" s="147"/>
      <c r="H303" s="147"/>
      <c r="I303" s="147"/>
    </row>
    <row r="304" spans="1:9" ht="15" customHeight="1">
      <c r="A304" s="147"/>
      <c r="B304" s="147"/>
      <c r="C304" s="147"/>
      <c r="D304" s="147"/>
      <c r="E304" s="147"/>
      <c r="F304" s="147"/>
      <c r="G304" s="147"/>
      <c r="H304" s="147"/>
      <c r="I304" s="147"/>
    </row>
    <row r="305" spans="1:9" ht="15" customHeight="1">
      <c r="A305" s="147"/>
      <c r="B305" s="147"/>
      <c r="C305" s="147"/>
      <c r="D305" s="147"/>
      <c r="E305" s="147"/>
      <c r="F305" s="147"/>
      <c r="G305" s="147"/>
      <c r="H305" s="147"/>
      <c r="I305" s="147"/>
    </row>
    <row r="306" spans="1:9" ht="15" customHeight="1">
      <c r="A306" s="147"/>
      <c r="B306" s="147"/>
      <c r="C306" s="147"/>
      <c r="D306" s="147"/>
      <c r="E306" s="147"/>
      <c r="F306" s="147"/>
      <c r="G306" s="147"/>
      <c r="H306" s="147"/>
      <c r="I306" s="147"/>
    </row>
    <row r="307" spans="1:9" ht="15" customHeight="1">
      <c r="A307" s="147"/>
      <c r="B307" s="147"/>
      <c r="C307" s="147"/>
      <c r="D307" s="147"/>
      <c r="E307" s="147"/>
      <c r="F307" s="147"/>
      <c r="G307" s="147"/>
      <c r="H307" s="147"/>
      <c r="I307" s="147"/>
    </row>
    <row r="308" spans="1:9" ht="15" customHeight="1">
      <c r="A308" s="147"/>
      <c r="B308" s="147"/>
      <c r="C308" s="147"/>
      <c r="D308" s="147"/>
      <c r="E308" s="147"/>
      <c r="F308" s="147"/>
      <c r="G308" s="147"/>
      <c r="H308" s="147"/>
      <c r="I308" s="147"/>
    </row>
    <row r="309" spans="1:9" ht="15" customHeight="1">
      <c r="A309" s="147"/>
      <c r="B309" s="147"/>
      <c r="C309" s="147"/>
      <c r="D309" s="147"/>
      <c r="E309" s="147"/>
      <c r="F309" s="147"/>
      <c r="G309" s="147"/>
      <c r="H309" s="147"/>
      <c r="I309" s="147"/>
    </row>
    <row r="310" spans="1:9" ht="15" customHeight="1">
      <c r="A310" s="147"/>
      <c r="B310" s="147"/>
      <c r="C310" s="147"/>
      <c r="D310" s="147"/>
      <c r="E310" s="147"/>
      <c r="F310" s="147"/>
      <c r="G310" s="147"/>
      <c r="H310" s="147"/>
      <c r="I310" s="147"/>
    </row>
    <row r="311" spans="1:9" ht="15" customHeight="1">
      <c r="A311" s="147"/>
      <c r="B311" s="147"/>
      <c r="C311" s="147"/>
      <c r="D311" s="147"/>
      <c r="E311" s="147"/>
      <c r="F311" s="147"/>
      <c r="G311" s="147"/>
      <c r="H311" s="147"/>
      <c r="I311" s="147"/>
    </row>
    <row r="312" spans="1:9" ht="15" customHeight="1">
      <c r="A312" s="147"/>
      <c r="B312" s="147"/>
      <c r="C312" s="147"/>
      <c r="D312" s="147"/>
      <c r="E312" s="147"/>
      <c r="F312" s="147"/>
      <c r="G312" s="147"/>
      <c r="H312" s="147"/>
      <c r="I312" s="147"/>
    </row>
    <row r="313" spans="1:9" ht="15" customHeight="1">
      <c r="A313" s="147"/>
      <c r="B313" s="147"/>
      <c r="C313" s="147"/>
      <c r="D313" s="147"/>
      <c r="E313" s="147"/>
      <c r="F313" s="147"/>
      <c r="G313" s="147"/>
      <c r="H313" s="147"/>
      <c r="I313" s="147"/>
    </row>
    <row r="314" spans="1:9" ht="15" customHeight="1">
      <c r="A314" s="147"/>
      <c r="B314" s="147"/>
      <c r="C314" s="147"/>
      <c r="D314" s="147"/>
      <c r="E314" s="147"/>
      <c r="F314" s="147"/>
      <c r="G314" s="147"/>
      <c r="H314" s="147"/>
      <c r="I314" s="147"/>
    </row>
    <row r="315" spans="1:9" ht="15" customHeight="1">
      <c r="A315" s="147"/>
      <c r="B315" s="147"/>
      <c r="C315" s="147"/>
      <c r="D315" s="147"/>
      <c r="E315" s="147"/>
      <c r="F315" s="147"/>
      <c r="G315" s="147"/>
      <c r="H315" s="147"/>
      <c r="I315" s="147"/>
    </row>
    <row r="316" spans="1:9" ht="15" customHeight="1">
      <c r="A316" s="147"/>
      <c r="B316" s="147"/>
      <c r="C316" s="147"/>
      <c r="D316" s="147"/>
      <c r="E316" s="147"/>
      <c r="F316" s="147"/>
      <c r="G316" s="147"/>
      <c r="H316" s="147"/>
      <c r="I316" s="147"/>
    </row>
    <row r="317" spans="1:9" ht="15" customHeight="1">
      <c r="A317" s="147"/>
      <c r="B317" s="147"/>
      <c r="C317" s="147"/>
      <c r="D317" s="147"/>
      <c r="E317" s="147"/>
      <c r="F317" s="147"/>
      <c r="G317" s="147"/>
      <c r="H317" s="147"/>
      <c r="I317" s="147"/>
    </row>
    <row r="318" spans="1:9" ht="15" customHeight="1">
      <c r="A318" s="147"/>
      <c r="B318" s="147"/>
      <c r="C318" s="147"/>
      <c r="D318" s="147"/>
      <c r="E318" s="147"/>
      <c r="F318" s="147"/>
      <c r="G318" s="147"/>
      <c r="H318" s="147"/>
      <c r="I318" s="147"/>
    </row>
    <row r="319" spans="1:9" ht="15" customHeight="1">
      <c r="A319" s="147"/>
      <c r="B319" s="147"/>
      <c r="C319" s="147"/>
      <c r="D319" s="147"/>
      <c r="E319" s="147"/>
      <c r="F319" s="147"/>
      <c r="G319" s="147"/>
      <c r="H319" s="147"/>
      <c r="I319" s="147"/>
    </row>
    <row r="320" spans="1:9" ht="15" customHeight="1">
      <c r="A320" s="147"/>
      <c r="B320" s="147"/>
      <c r="C320" s="147"/>
      <c r="D320" s="147"/>
      <c r="E320" s="147"/>
      <c r="F320" s="147"/>
      <c r="G320" s="147"/>
      <c r="H320" s="147"/>
      <c r="I320" s="147"/>
    </row>
    <row r="321" spans="1:9" ht="15" customHeight="1">
      <c r="A321" s="147"/>
      <c r="B321" s="147"/>
      <c r="C321" s="147"/>
      <c r="D321" s="147"/>
      <c r="E321" s="147"/>
      <c r="F321" s="147"/>
      <c r="G321" s="147"/>
      <c r="H321" s="147"/>
      <c r="I321" s="147"/>
    </row>
    <row r="322" spans="1:9" ht="15" customHeight="1">
      <c r="A322" s="147"/>
      <c r="B322" s="147"/>
      <c r="C322" s="147"/>
      <c r="D322" s="147"/>
      <c r="E322" s="147"/>
      <c r="F322" s="147"/>
      <c r="G322" s="147"/>
      <c r="H322" s="147"/>
      <c r="I322" s="147"/>
    </row>
    <row r="323" spans="1:9" ht="15" customHeight="1">
      <c r="A323" s="147"/>
      <c r="B323" s="147"/>
      <c r="C323" s="147"/>
      <c r="D323" s="147"/>
      <c r="E323" s="147"/>
      <c r="F323" s="147"/>
      <c r="G323" s="147"/>
      <c r="H323" s="147"/>
      <c r="I323" s="147"/>
    </row>
    <row r="324" spans="1:9" ht="15" customHeight="1">
      <c r="A324" s="147"/>
      <c r="B324" s="147"/>
      <c r="C324" s="147"/>
      <c r="D324" s="147"/>
      <c r="E324" s="147"/>
      <c r="F324" s="147"/>
      <c r="G324" s="147"/>
      <c r="H324" s="147"/>
      <c r="I324" s="147"/>
    </row>
    <row r="325" spans="1:9" ht="15" customHeight="1">
      <c r="A325" s="147"/>
      <c r="B325" s="147"/>
      <c r="C325" s="147"/>
      <c r="D325" s="147"/>
      <c r="E325" s="147"/>
      <c r="F325" s="147"/>
      <c r="G325" s="147"/>
      <c r="H325" s="147"/>
      <c r="I325" s="147"/>
    </row>
    <row r="326" spans="1:9" ht="15" customHeight="1">
      <c r="A326" s="147"/>
      <c r="B326" s="147"/>
      <c r="C326" s="147"/>
      <c r="D326" s="147"/>
      <c r="E326" s="147"/>
      <c r="F326" s="147"/>
      <c r="G326" s="147"/>
      <c r="H326" s="147"/>
      <c r="I326" s="147"/>
    </row>
    <row r="327" spans="1:9" ht="15" customHeight="1">
      <c r="A327" s="147"/>
      <c r="B327" s="147"/>
      <c r="C327" s="147"/>
      <c r="D327" s="147"/>
      <c r="E327" s="147"/>
      <c r="F327" s="147"/>
      <c r="G327" s="147"/>
      <c r="H327" s="147"/>
      <c r="I327" s="147"/>
    </row>
    <row r="328" spans="1:9" ht="15" customHeight="1">
      <c r="A328" s="147"/>
      <c r="B328" s="147"/>
      <c r="C328" s="147"/>
      <c r="D328" s="147"/>
      <c r="E328" s="147"/>
      <c r="F328" s="147"/>
      <c r="G328" s="147"/>
      <c r="H328" s="147"/>
      <c r="I328" s="147"/>
    </row>
    <row r="329" spans="1:9" ht="15" customHeight="1">
      <c r="A329" s="147"/>
      <c r="B329" s="147"/>
      <c r="C329" s="147"/>
      <c r="D329" s="147"/>
      <c r="E329" s="147"/>
      <c r="F329" s="147"/>
      <c r="G329" s="147"/>
      <c r="H329" s="147"/>
      <c r="I329" s="147"/>
    </row>
    <row r="330" spans="1:9" ht="15" customHeight="1">
      <c r="A330" s="147"/>
      <c r="B330" s="147"/>
      <c r="C330" s="147"/>
      <c r="D330" s="147"/>
      <c r="E330" s="147"/>
      <c r="F330" s="147"/>
      <c r="G330" s="147"/>
      <c r="H330" s="147"/>
      <c r="I330" s="147"/>
    </row>
    <row r="331" spans="1:9" ht="15" customHeight="1">
      <c r="A331" s="147"/>
      <c r="B331" s="147"/>
      <c r="C331" s="147"/>
      <c r="D331" s="147"/>
      <c r="E331" s="147"/>
      <c r="F331" s="147"/>
      <c r="G331" s="147"/>
      <c r="H331" s="147"/>
      <c r="I331" s="147"/>
    </row>
    <row r="332" spans="1:9" ht="15" customHeight="1">
      <c r="A332" s="147"/>
      <c r="B332" s="147"/>
      <c r="C332" s="147"/>
      <c r="D332" s="147"/>
      <c r="E332" s="147"/>
      <c r="F332" s="147"/>
      <c r="G332" s="147"/>
      <c r="H332" s="147"/>
      <c r="I332" s="147"/>
    </row>
    <row r="333" spans="1:9" ht="15" customHeight="1">
      <c r="A333" s="147"/>
      <c r="B333" s="147"/>
      <c r="C333" s="147"/>
      <c r="D333" s="147"/>
      <c r="E333" s="147"/>
      <c r="F333" s="147"/>
      <c r="G333" s="147"/>
      <c r="H333" s="147"/>
      <c r="I333" s="147"/>
    </row>
    <row r="334" spans="1:9" ht="15" customHeight="1">
      <c r="A334" s="147"/>
      <c r="B334" s="147"/>
      <c r="C334" s="147"/>
      <c r="D334" s="147"/>
      <c r="E334" s="147"/>
      <c r="F334" s="147"/>
      <c r="G334" s="147"/>
      <c r="H334" s="147"/>
      <c r="I334" s="147"/>
    </row>
    <row r="335" spans="1:9" ht="15" customHeight="1">
      <c r="A335" s="147"/>
      <c r="B335" s="147"/>
      <c r="C335" s="147"/>
      <c r="D335" s="147"/>
      <c r="E335" s="147"/>
      <c r="F335" s="147"/>
      <c r="G335" s="147"/>
      <c r="H335" s="147"/>
      <c r="I335" s="147"/>
    </row>
    <row r="336" spans="1:9" ht="15" customHeight="1">
      <c r="A336" s="147"/>
      <c r="B336" s="147"/>
      <c r="C336" s="147"/>
      <c r="D336" s="147"/>
      <c r="E336" s="147"/>
      <c r="F336" s="147"/>
      <c r="G336" s="147"/>
      <c r="H336" s="147"/>
      <c r="I336" s="147"/>
    </row>
    <row r="337" spans="1:9" ht="15" customHeight="1">
      <c r="A337" s="147"/>
      <c r="B337" s="147"/>
      <c r="C337" s="147"/>
      <c r="D337" s="147"/>
      <c r="E337" s="147"/>
      <c r="F337" s="147"/>
      <c r="G337" s="147"/>
      <c r="H337" s="147"/>
      <c r="I337" s="147"/>
    </row>
    <row r="338" spans="1:9" ht="15" customHeight="1">
      <c r="A338" s="147"/>
      <c r="B338" s="147"/>
      <c r="C338" s="147"/>
      <c r="D338" s="147"/>
      <c r="E338" s="147"/>
      <c r="F338" s="147"/>
      <c r="G338" s="147"/>
      <c r="H338" s="147"/>
      <c r="I338" s="147"/>
    </row>
    <row r="339" spans="1:9" ht="15" customHeight="1">
      <c r="A339" s="147"/>
      <c r="B339" s="147"/>
      <c r="C339" s="147"/>
      <c r="D339" s="147"/>
      <c r="E339" s="147"/>
      <c r="F339" s="147"/>
      <c r="G339" s="147"/>
      <c r="H339" s="147"/>
      <c r="I339" s="147"/>
    </row>
    <row r="340" spans="1:9" ht="15" customHeight="1">
      <c r="A340" s="147"/>
      <c r="B340" s="147"/>
      <c r="C340" s="147"/>
      <c r="D340" s="147"/>
      <c r="E340" s="147"/>
      <c r="F340" s="147"/>
      <c r="G340" s="147"/>
      <c r="H340" s="147"/>
      <c r="I340" s="147"/>
    </row>
    <row r="341" spans="1:9" ht="15" customHeight="1">
      <c r="A341" s="147"/>
      <c r="B341" s="147"/>
      <c r="C341" s="147"/>
      <c r="D341" s="147"/>
      <c r="E341" s="147"/>
      <c r="F341" s="147"/>
      <c r="G341" s="147"/>
      <c r="H341" s="147"/>
      <c r="I341" s="147"/>
    </row>
    <row r="342" spans="1:9" ht="15" customHeight="1">
      <c r="A342" s="147"/>
      <c r="B342" s="147"/>
      <c r="C342" s="147"/>
      <c r="D342" s="147"/>
      <c r="E342" s="147"/>
      <c r="F342" s="147"/>
      <c r="G342" s="147"/>
      <c r="H342" s="147"/>
      <c r="I342" s="147"/>
    </row>
    <row r="343" spans="1:9" ht="15" customHeight="1">
      <c r="A343" s="147"/>
      <c r="B343" s="147"/>
      <c r="C343" s="147"/>
      <c r="D343" s="147"/>
      <c r="E343" s="147"/>
      <c r="F343" s="147"/>
      <c r="G343" s="147"/>
      <c r="H343" s="147"/>
      <c r="I343" s="147"/>
    </row>
    <row r="344" spans="1:9" ht="15" customHeight="1">
      <c r="A344" s="147"/>
      <c r="B344" s="147"/>
      <c r="C344" s="147"/>
      <c r="D344" s="147"/>
      <c r="E344" s="147"/>
      <c r="F344" s="147"/>
      <c r="G344" s="147"/>
      <c r="H344" s="147"/>
      <c r="I344" s="147"/>
    </row>
    <row r="345" spans="1:9" ht="15" customHeight="1">
      <c r="A345" s="147"/>
      <c r="B345" s="147"/>
      <c r="C345" s="147"/>
      <c r="D345" s="147"/>
      <c r="E345" s="147"/>
      <c r="F345" s="147"/>
      <c r="G345" s="147"/>
      <c r="H345" s="147"/>
      <c r="I345" s="147"/>
    </row>
    <row r="346" spans="1:9" ht="15" customHeight="1">
      <c r="A346" s="147"/>
      <c r="B346" s="147"/>
      <c r="C346" s="147"/>
      <c r="D346" s="147"/>
      <c r="E346" s="147"/>
      <c r="F346" s="147"/>
      <c r="G346" s="147"/>
      <c r="H346" s="147"/>
      <c r="I346" s="147"/>
    </row>
    <row r="347" spans="1:9" ht="15" customHeight="1">
      <c r="A347" s="147"/>
      <c r="B347" s="147"/>
      <c r="C347" s="147"/>
      <c r="D347" s="147"/>
      <c r="E347" s="147"/>
      <c r="F347" s="147"/>
      <c r="G347" s="147"/>
      <c r="H347" s="147"/>
      <c r="I347" s="147"/>
    </row>
    <row r="348" spans="1:9" ht="15" customHeight="1">
      <c r="A348" s="147"/>
      <c r="B348" s="147"/>
      <c r="C348" s="147"/>
      <c r="D348" s="147"/>
      <c r="E348" s="147"/>
      <c r="F348" s="147"/>
      <c r="G348" s="147"/>
      <c r="H348" s="147"/>
      <c r="I348" s="147"/>
    </row>
    <row r="349" spans="1:9" ht="15" customHeight="1">
      <c r="A349" s="147"/>
      <c r="B349" s="147"/>
      <c r="C349" s="147"/>
      <c r="D349" s="147"/>
      <c r="E349" s="147"/>
      <c r="F349" s="147"/>
      <c r="G349" s="147"/>
      <c r="H349" s="147"/>
      <c r="I349" s="147"/>
    </row>
    <row r="350" spans="1:9" ht="15" customHeight="1">
      <c r="A350" s="147"/>
      <c r="B350" s="147"/>
      <c r="C350" s="147"/>
      <c r="D350" s="147"/>
      <c r="E350" s="147"/>
      <c r="F350" s="147"/>
      <c r="G350" s="147"/>
      <c r="H350" s="147"/>
      <c r="I350" s="147"/>
    </row>
    <row r="351" spans="1:9" ht="15" customHeight="1">
      <c r="A351" s="147"/>
      <c r="B351" s="147"/>
      <c r="C351" s="147"/>
      <c r="D351" s="147"/>
      <c r="E351" s="147"/>
      <c r="F351" s="147"/>
      <c r="G351" s="147"/>
      <c r="H351" s="147"/>
      <c r="I351" s="147"/>
    </row>
    <row r="352" spans="1:9" ht="15" customHeight="1">
      <c r="A352" s="147"/>
      <c r="B352" s="147"/>
      <c r="C352" s="147"/>
      <c r="D352" s="147"/>
      <c r="E352" s="147"/>
      <c r="F352" s="147"/>
      <c r="G352" s="147"/>
      <c r="H352" s="147"/>
      <c r="I352" s="147"/>
    </row>
    <row r="353" spans="1:9" ht="15" customHeight="1">
      <c r="A353" s="147"/>
      <c r="B353" s="147"/>
      <c r="C353" s="147"/>
      <c r="D353" s="147"/>
      <c r="E353" s="147"/>
      <c r="F353" s="147"/>
      <c r="G353" s="147"/>
      <c r="H353" s="147"/>
      <c r="I353" s="147"/>
    </row>
    <row r="354" spans="1:9" ht="15" customHeight="1">
      <c r="A354" s="147"/>
      <c r="B354" s="147"/>
      <c r="C354" s="147"/>
      <c r="D354" s="147"/>
      <c r="E354" s="147"/>
      <c r="F354" s="147"/>
      <c r="G354" s="147"/>
      <c r="H354" s="147"/>
      <c r="I354" s="147"/>
    </row>
    <row r="355" spans="1:9" ht="15" customHeight="1">
      <c r="A355" s="147"/>
      <c r="B355" s="147"/>
      <c r="C355" s="147"/>
      <c r="D355" s="147"/>
      <c r="E355" s="147"/>
      <c r="F355" s="147"/>
      <c r="G355" s="147"/>
      <c r="H355" s="147"/>
      <c r="I355" s="147"/>
    </row>
    <row r="356" spans="1:9" ht="15" customHeight="1">
      <c r="A356" s="147"/>
      <c r="B356" s="147"/>
      <c r="C356" s="147"/>
      <c r="D356" s="147"/>
      <c r="E356" s="147"/>
      <c r="F356" s="147"/>
      <c r="G356" s="147"/>
      <c r="H356" s="147"/>
      <c r="I356" s="147"/>
    </row>
    <row r="357" spans="1:9" ht="15" customHeight="1">
      <c r="A357" s="147"/>
      <c r="B357" s="147"/>
      <c r="C357" s="147"/>
      <c r="D357" s="147"/>
      <c r="E357" s="147"/>
      <c r="F357" s="147"/>
      <c r="G357" s="147"/>
      <c r="H357" s="147"/>
      <c r="I357" s="147"/>
    </row>
    <row r="358" spans="1:9" ht="15" customHeight="1">
      <c r="A358" s="147"/>
      <c r="B358" s="147"/>
      <c r="C358" s="147"/>
      <c r="D358" s="147"/>
      <c r="E358" s="147"/>
      <c r="F358" s="147"/>
      <c r="G358" s="147"/>
      <c r="H358" s="147"/>
      <c r="I358" s="147"/>
    </row>
    <row r="359" spans="1:9" ht="15" customHeight="1">
      <c r="A359" s="147"/>
      <c r="B359" s="147"/>
      <c r="C359" s="147"/>
      <c r="D359" s="147"/>
      <c r="E359" s="147"/>
      <c r="F359" s="147"/>
      <c r="G359" s="147"/>
      <c r="H359" s="147"/>
      <c r="I359" s="147"/>
    </row>
    <row r="360" spans="1:9" ht="15" customHeight="1">
      <c r="A360" s="147"/>
      <c r="B360" s="147"/>
      <c r="C360" s="147"/>
      <c r="D360" s="147"/>
      <c r="E360" s="147"/>
      <c r="F360" s="147"/>
      <c r="G360" s="147"/>
      <c r="H360" s="147"/>
      <c r="I360" s="147"/>
    </row>
    <row r="361" spans="1:9" ht="15" customHeight="1">
      <c r="A361" s="147"/>
      <c r="B361" s="147"/>
      <c r="C361" s="147"/>
      <c r="D361" s="147"/>
      <c r="E361" s="147"/>
      <c r="F361" s="147"/>
      <c r="G361" s="147"/>
      <c r="H361" s="147"/>
      <c r="I361" s="147"/>
    </row>
    <row r="362" spans="1:9" ht="15" customHeight="1">
      <c r="A362" s="147"/>
      <c r="B362" s="147"/>
      <c r="C362" s="147"/>
      <c r="D362" s="147"/>
      <c r="E362" s="147"/>
      <c r="F362" s="147"/>
      <c r="G362" s="147"/>
      <c r="H362" s="147"/>
      <c r="I362" s="147"/>
    </row>
    <row r="363" spans="1:9" ht="15" customHeight="1">
      <c r="A363" s="147"/>
      <c r="B363" s="147"/>
      <c r="C363" s="147"/>
      <c r="D363" s="147"/>
      <c r="E363" s="147"/>
      <c r="F363" s="147"/>
      <c r="G363" s="147"/>
      <c r="H363" s="147"/>
      <c r="I363" s="147"/>
    </row>
    <row r="364" spans="1:9" ht="15" customHeight="1">
      <c r="A364" s="147"/>
      <c r="B364" s="147"/>
      <c r="C364" s="147"/>
      <c r="D364" s="147"/>
      <c r="E364" s="147"/>
      <c r="F364" s="147"/>
      <c r="G364" s="147"/>
      <c r="H364" s="147"/>
      <c r="I364" s="147"/>
    </row>
    <row r="365" spans="1:9" ht="15" customHeight="1">
      <c r="A365" s="147"/>
      <c r="B365" s="147"/>
      <c r="C365" s="147"/>
      <c r="D365" s="147"/>
      <c r="E365" s="147"/>
      <c r="F365" s="147"/>
      <c r="G365" s="147"/>
      <c r="H365" s="147"/>
      <c r="I365" s="147"/>
    </row>
    <row r="366" spans="1:9" ht="15" customHeight="1">
      <c r="A366" s="147"/>
      <c r="B366" s="147"/>
      <c r="C366" s="147"/>
      <c r="D366" s="147"/>
      <c r="E366" s="147"/>
      <c r="F366" s="147"/>
      <c r="G366" s="147"/>
      <c r="H366" s="147"/>
      <c r="I366" s="147"/>
    </row>
    <row r="367" spans="1:9" ht="15" customHeight="1">
      <c r="A367" s="147"/>
      <c r="B367" s="147"/>
      <c r="C367" s="147"/>
      <c r="D367" s="147"/>
      <c r="E367" s="147"/>
      <c r="F367" s="147"/>
      <c r="G367" s="147"/>
      <c r="H367" s="147"/>
      <c r="I367" s="147"/>
    </row>
    <row r="368" spans="1:9" ht="15" customHeight="1">
      <c r="A368" s="147"/>
      <c r="B368" s="147"/>
      <c r="C368" s="147"/>
      <c r="D368" s="147"/>
      <c r="E368" s="147"/>
      <c r="F368" s="147"/>
      <c r="G368" s="147"/>
      <c r="H368" s="147"/>
      <c r="I368" s="147"/>
    </row>
    <row r="369" spans="1:9" ht="15" customHeight="1">
      <c r="A369" s="147"/>
      <c r="B369" s="147"/>
      <c r="C369" s="147"/>
      <c r="D369" s="147"/>
      <c r="E369" s="147"/>
      <c r="F369" s="147"/>
      <c r="G369" s="147"/>
      <c r="H369" s="147"/>
      <c r="I369" s="147"/>
    </row>
    <row r="370" spans="1:9" ht="15" customHeight="1">
      <c r="A370" s="147"/>
      <c r="B370" s="147"/>
      <c r="C370" s="147"/>
      <c r="D370" s="147"/>
      <c r="E370" s="147"/>
      <c r="F370" s="147"/>
      <c r="G370" s="147"/>
      <c r="H370" s="147"/>
      <c r="I370" s="147"/>
    </row>
    <row r="371" spans="1:9" ht="15" customHeight="1">
      <c r="A371" s="147"/>
      <c r="B371" s="147"/>
      <c r="C371" s="147"/>
      <c r="D371" s="147"/>
      <c r="E371" s="147"/>
      <c r="F371" s="147"/>
      <c r="G371" s="147"/>
      <c r="H371" s="147"/>
      <c r="I371" s="147"/>
    </row>
    <row r="372" spans="1:9" ht="15" customHeight="1">
      <c r="A372" s="147"/>
      <c r="B372" s="147"/>
      <c r="C372" s="147"/>
      <c r="D372" s="147"/>
      <c r="E372" s="147"/>
      <c r="F372" s="147"/>
      <c r="G372" s="147"/>
      <c r="H372" s="147"/>
      <c r="I372" s="147"/>
    </row>
    <row r="373" spans="1:9" ht="15" customHeight="1">
      <c r="A373" s="147"/>
      <c r="B373" s="147"/>
      <c r="C373" s="147"/>
      <c r="D373" s="147"/>
      <c r="E373" s="147"/>
      <c r="F373" s="147"/>
      <c r="G373" s="147"/>
      <c r="H373" s="147"/>
      <c r="I373" s="147"/>
    </row>
    <row r="374" spans="1:9" ht="15" customHeight="1">
      <c r="A374" s="147"/>
      <c r="B374" s="147"/>
      <c r="C374" s="147"/>
      <c r="D374" s="147"/>
      <c r="E374" s="147"/>
      <c r="F374" s="147"/>
      <c r="G374" s="147"/>
      <c r="H374" s="147"/>
      <c r="I374" s="147"/>
    </row>
    <row r="375" spans="1:9" ht="15" customHeight="1">
      <c r="A375" s="147"/>
      <c r="B375" s="147"/>
      <c r="C375" s="147"/>
      <c r="D375" s="147"/>
      <c r="E375" s="147"/>
      <c r="F375" s="147"/>
      <c r="G375" s="147"/>
      <c r="H375" s="147"/>
      <c r="I375" s="147"/>
    </row>
    <row r="376" spans="1:9" ht="15" customHeight="1">
      <c r="A376" s="147"/>
      <c r="B376" s="147"/>
      <c r="C376" s="147"/>
      <c r="D376" s="147"/>
      <c r="E376" s="147"/>
      <c r="F376" s="147"/>
      <c r="G376" s="147"/>
      <c r="H376" s="147"/>
      <c r="I376" s="147"/>
    </row>
    <row r="377" spans="1:9" ht="15" customHeight="1">
      <c r="A377" s="147"/>
      <c r="B377" s="147"/>
      <c r="C377" s="147"/>
      <c r="D377" s="147"/>
      <c r="E377" s="147"/>
      <c r="F377" s="147"/>
      <c r="G377" s="147"/>
      <c r="H377" s="147"/>
      <c r="I377" s="147"/>
    </row>
    <row r="378" spans="1:9" ht="15" customHeight="1">
      <c r="A378" s="147"/>
      <c r="B378" s="147"/>
      <c r="C378" s="147"/>
      <c r="D378" s="147"/>
      <c r="E378" s="147"/>
      <c r="F378" s="147"/>
      <c r="G378" s="147"/>
      <c r="H378" s="147"/>
      <c r="I378" s="147"/>
    </row>
    <row r="379" spans="1:9" ht="15" customHeight="1">
      <c r="A379" s="147"/>
      <c r="B379" s="147"/>
      <c r="C379" s="147"/>
      <c r="D379" s="147"/>
      <c r="E379" s="147"/>
      <c r="F379" s="147"/>
      <c r="G379" s="147"/>
      <c r="H379" s="147"/>
      <c r="I379" s="147"/>
    </row>
    <row r="380" spans="1:9" ht="15" customHeight="1">
      <c r="A380" s="147"/>
      <c r="B380" s="147"/>
      <c r="C380" s="147"/>
      <c r="D380" s="147"/>
      <c r="E380" s="147"/>
      <c r="F380" s="147"/>
      <c r="G380" s="147"/>
      <c r="H380" s="147"/>
      <c r="I380" s="147"/>
    </row>
    <row r="381" spans="1:9" ht="15" customHeight="1">
      <c r="A381" s="147"/>
      <c r="B381" s="147"/>
      <c r="C381" s="147"/>
      <c r="D381" s="147"/>
      <c r="E381" s="147"/>
      <c r="F381" s="147"/>
      <c r="G381" s="147"/>
      <c r="H381" s="147"/>
      <c r="I381" s="147"/>
    </row>
    <row r="382" spans="1:9" ht="15" customHeight="1">
      <c r="A382" s="147"/>
      <c r="B382" s="147"/>
      <c r="C382" s="147"/>
      <c r="D382" s="147"/>
      <c r="E382" s="147"/>
      <c r="F382" s="147"/>
      <c r="G382" s="147"/>
      <c r="H382" s="147"/>
      <c r="I382" s="147"/>
    </row>
    <row r="383" spans="1:9" ht="15" customHeight="1">
      <c r="A383" s="147"/>
      <c r="B383" s="147"/>
      <c r="C383" s="147"/>
      <c r="D383" s="147"/>
      <c r="E383" s="147"/>
      <c r="F383" s="147"/>
      <c r="G383" s="147"/>
      <c r="H383" s="147"/>
      <c r="I383" s="147"/>
    </row>
    <row r="384" spans="1:9" ht="15" customHeight="1">
      <c r="A384" s="147"/>
      <c r="B384" s="147"/>
      <c r="C384" s="147"/>
      <c r="D384" s="147"/>
      <c r="E384" s="147"/>
      <c r="F384" s="147"/>
      <c r="G384" s="147"/>
      <c r="H384" s="147"/>
      <c r="I384" s="147"/>
    </row>
    <row r="385" spans="1:9" ht="15" customHeight="1">
      <c r="A385" s="147"/>
      <c r="B385" s="147"/>
      <c r="C385" s="147"/>
      <c r="D385" s="147"/>
      <c r="E385" s="147"/>
      <c r="F385" s="147"/>
      <c r="G385" s="147"/>
      <c r="H385" s="147"/>
      <c r="I385" s="147"/>
    </row>
    <row r="386" spans="1:9" ht="15" customHeight="1">
      <c r="A386" s="147"/>
      <c r="B386" s="147"/>
      <c r="C386" s="147"/>
      <c r="D386" s="147"/>
      <c r="E386" s="147"/>
      <c r="F386" s="147"/>
      <c r="G386" s="147"/>
      <c r="H386" s="147"/>
      <c r="I386" s="147"/>
    </row>
    <row r="387" spans="1:9" ht="15" customHeight="1">
      <c r="A387" s="147"/>
      <c r="B387" s="147"/>
      <c r="C387" s="147"/>
      <c r="D387" s="147"/>
      <c r="E387" s="147"/>
      <c r="F387" s="147"/>
      <c r="G387" s="147"/>
      <c r="H387" s="147"/>
      <c r="I387" s="147"/>
    </row>
    <row r="388" spans="1:9" ht="15" customHeight="1">
      <c r="A388" s="147"/>
      <c r="B388" s="147"/>
      <c r="C388" s="147"/>
      <c r="D388" s="147"/>
      <c r="E388" s="147"/>
      <c r="F388" s="147"/>
      <c r="G388" s="147"/>
      <c r="H388" s="147"/>
      <c r="I388" s="147"/>
    </row>
    <row r="389" spans="1:9" ht="15" customHeight="1">
      <c r="A389" s="147"/>
      <c r="B389" s="147"/>
      <c r="C389" s="147"/>
      <c r="D389" s="147"/>
      <c r="E389" s="147"/>
      <c r="F389" s="147"/>
      <c r="G389" s="147"/>
      <c r="H389" s="147"/>
      <c r="I389" s="147"/>
    </row>
    <row r="390" spans="1:9" ht="15" customHeight="1">
      <c r="A390" s="147"/>
      <c r="B390" s="147"/>
      <c r="C390" s="147"/>
      <c r="D390" s="147"/>
      <c r="E390" s="147"/>
      <c r="F390" s="147"/>
      <c r="G390" s="147"/>
      <c r="H390" s="147"/>
      <c r="I390" s="147"/>
    </row>
    <row r="391" spans="1:9" ht="15" customHeight="1">
      <c r="A391" s="147"/>
      <c r="B391" s="147"/>
      <c r="C391" s="147"/>
      <c r="D391" s="147"/>
      <c r="E391" s="147"/>
      <c r="F391" s="147"/>
      <c r="G391" s="147"/>
      <c r="H391" s="147"/>
      <c r="I391" s="147"/>
    </row>
    <row r="392" spans="1:9" ht="15" customHeight="1">
      <c r="A392" s="147"/>
      <c r="B392" s="147"/>
      <c r="C392" s="147"/>
      <c r="D392" s="147"/>
      <c r="E392" s="147"/>
      <c r="F392" s="147"/>
      <c r="G392" s="147"/>
      <c r="H392" s="147"/>
      <c r="I392" s="147"/>
    </row>
    <row r="393" spans="1:9" ht="15" customHeight="1">
      <c r="A393" s="147"/>
      <c r="B393" s="147"/>
      <c r="C393" s="147"/>
      <c r="D393" s="147"/>
      <c r="E393" s="147"/>
      <c r="F393" s="147"/>
      <c r="G393" s="147"/>
      <c r="H393" s="147"/>
      <c r="I393" s="147"/>
    </row>
    <row r="394" spans="1:9" ht="15" customHeight="1">
      <c r="A394" s="147"/>
      <c r="B394" s="147"/>
      <c r="C394" s="147"/>
      <c r="D394" s="147"/>
      <c r="E394" s="147"/>
      <c r="F394" s="147"/>
      <c r="G394" s="147"/>
      <c r="H394" s="147"/>
      <c r="I394" s="147"/>
    </row>
    <row r="395" spans="1:9" ht="15" customHeight="1">
      <c r="A395" s="147"/>
      <c r="B395" s="147"/>
      <c r="C395" s="147"/>
      <c r="D395" s="147"/>
      <c r="E395" s="147"/>
      <c r="F395" s="147"/>
      <c r="G395" s="147"/>
      <c r="H395" s="147"/>
      <c r="I395" s="147"/>
    </row>
    <row r="396" spans="1:9" ht="15" customHeight="1">
      <c r="A396" s="147"/>
      <c r="B396" s="147"/>
      <c r="C396" s="147"/>
      <c r="D396" s="147"/>
      <c r="E396" s="147"/>
      <c r="F396" s="147"/>
      <c r="G396" s="147"/>
      <c r="H396" s="147"/>
      <c r="I396" s="147"/>
    </row>
    <row r="397" spans="1:9" ht="15" customHeight="1">
      <c r="A397" s="147"/>
      <c r="B397" s="147"/>
      <c r="C397" s="147"/>
      <c r="D397" s="147"/>
      <c r="E397" s="147"/>
      <c r="F397" s="147"/>
      <c r="G397" s="147"/>
      <c r="H397" s="147"/>
      <c r="I397" s="147"/>
    </row>
    <row r="398" spans="1:9" ht="15" customHeight="1">
      <c r="A398" s="147"/>
      <c r="B398" s="147"/>
      <c r="C398" s="147"/>
      <c r="D398" s="147"/>
      <c r="E398" s="147"/>
      <c r="F398" s="147"/>
      <c r="G398" s="147"/>
      <c r="H398" s="147"/>
      <c r="I398" s="147"/>
    </row>
    <row r="399" spans="1:9" ht="15" customHeight="1">
      <c r="A399" s="147"/>
      <c r="B399" s="147"/>
      <c r="C399" s="147"/>
      <c r="D399" s="147"/>
      <c r="E399" s="147"/>
      <c r="F399" s="147"/>
      <c r="G399" s="147"/>
      <c r="H399" s="147"/>
      <c r="I399" s="147"/>
    </row>
    <row r="400" spans="1:9" ht="15" customHeight="1">
      <c r="A400" s="147"/>
      <c r="B400" s="147"/>
      <c r="C400" s="147"/>
      <c r="D400" s="147"/>
      <c r="E400" s="147"/>
      <c r="F400" s="147"/>
      <c r="G400" s="147"/>
      <c r="H400" s="147"/>
      <c r="I400" s="147"/>
    </row>
    <row r="401" spans="1:9" ht="15" customHeight="1">
      <c r="A401" s="147"/>
      <c r="B401" s="147"/>
      <c r="C401" s="147"/>
      <c r="D401" s="147"/>
      <c r="E401" s="147"/>
      <c r="F401" s="147"/>
      <c r="G401" s="147"/>
      <c r="H401" s="147"/>
      <c r="I401" s="147"/>
    </row>
    <row r="402" spans="1:9" ht="15" customHeight="1">
      <c r="A402" s="147"/>
      <c r="B402" s="147"/>
      <c r="C402" s="147"/>
      <c r="D402" s="147"/>
      <c r="E402" s="147"/>
      <c r="F402" s="147"/>
      <c r="G402" s="147"/>
      <c r="H402" s="147"/>
      <c r="I402" s="147"/>
    </row>
    <row r="403" spans="1:9" ht="15" customHeight="1">
      <c r="A403" s="147"/>
      <c r="B403" s="147"/>
      <c r="C403" s="147"/>
      <c r="D403" s="147"/>
      <c r="E403" s="147"/>
      <c r="F403" s="147"/>
      <c r="G403" s="147"/>
      <c r="H403" s="147"/>
      <c r="I403" s="147"/>
    </row>
    <row r="404" spans="1:9" ht="15" customHeight="1">
      <c r="A404" s="147"/>
      <c r="B404" s="147"/>
      <c r="C404" s="147"/>
      <c r="D404" s="147"/>
      <c r="E404" s="147"/>
      <c r="F404" s="147"/>
      <c r="G404" s="147"/>
      <c r="H404" s="147"/>
      <c r="I404" s="147"/>
    </row>
    <row r="405" spans="1:9" ht="15" customHeight="1">
      <c r="A405" s="147"/>
      <c r="B405" s="147"/>
      <c r="C405" s="147"/>
      <c r="D405" s="147"/>
      <c r="E405" s="147"/>
      <c r="F405" s="147"/>
      <c r="G405" s="147"/>
      <c r="H405" s="147"/>
      <c r="I405" s="147"/>
    </row>
    <row r="406" spans="1:9" ht="15" customHeight="1">
      <c r="A406" s="147"/>
      <c r="B406" s="147"/>
      <c r="C406" s="147"/>
      <c r="D406" s="147"/>
      <c r="E406" s="147"/>
      <c r="F406" s="147"/>
      <c r="G406" s="147"/>
      <c r="H406" s="147"/>
      <c r="I406" s="147"/>
    </row>
    <row r="407" spans="1:9" ht="15" customHeight="1">
      <c r="A407" s="147"/>
      <c r="B407" s="147"/>
      <c r="C407" s="147"/>
      <c r="D407" s="147"/>
      <c r="E407" s="147"/>
      <c r="F407" s="147"/>
      <c r="G407" s="147"/>
      <c r="H407" s="147"/>
      <c r="I407" s="147"/>
    </row>
    <row r="408" spans="1:9" ht="15" customHeight="1">
      <c r="A408" s="147"/>
      <c r="B408" s="147"/>
      <c r="C408" s="147"/>
      <c r="D408" s="147"/>
      <c r="E408" s="147"/>
      <c r="F408" s="147"/>
      <c r="G408" s="147"/>
      <c r="H408" s="147"/>
      <c r="I408" s="147"/>
    </row>
    <row r="409" spans="1:9" ht="15" customHeight="1">
      <c r="A409" s="147"/>
      <c r="B409" s="147"/>
      <c r="C409" s="147"/>
      <c r="D409" s="147"/>
      <c r="E409" s="147"/>
      <c r="F409" s="147"/>
      <c r="G409" s="147"/>
      <c r="H409" s="147"/>
      <c r="I409" s="147"/>
    </row>
    <row r="410" spans="1:9" ht="15" customHeight="1">
      <c r="A410" s="147"/>
      <c r="B410" s="147"/>
      <c r="C410" s="147"/>
      <c r="D410" s="147"/>
      <c r="E410" s="147"/>
      <c r="F410" s="147"/>
      <c r="G410" s="147"/>
      <c r="H410" s="147"/>
      <c r="I410" s="147"/>
    </row>
    <row r="411" spans="1:9" ht="15" customHeight="1">
      <c r="A411" s="147"/>
      <c r="B411" s="147"/>
      <c r="C411" s="147"/>
      <c r="D411" s="147"/>
      <c r="E411" s="147"/>
      <c r="F411" s="147"/>
      <c r="G411" s="147"/>
      <c r="H411" s="147"/>
      <c r="I411" s="147"/>
    </row>
    <row r="412" spans="1:9" ht="15" customHeight="1">
      <c r="A412" s="147"/>
      <c r="B412" s="147"/>
      <c r="C412" s="147"/>
      <c r="D412" s="147"/>
      <c r="E412" s="147"/>
      <c r="F412" s="147"/>
      <c r="G412" s="147"/>
      <c r="H412" s="147"/>
      <c r="I412" s="147"/>
    </row>
    <row r="413" spans="1:9" ht="15" customHeight="1">
      <c r="A413" s="147"/>
      <c r="B413" s="147"/>
      <c r="C413" s="147"/>
      <c r="D413" s="147"/>
      <c r="E413" s="147"/>
      <c r="F413" s="147"/>
      <c r="G413" s="147"/>
      <c r="H413" s="147"/>
      <c r="I413" s="147"/>
    </row>
    <row r="414" spans="1:9" ht="15" customHeight="1">
      <c r="A414" s="147"/>
      <c r="B414" s="147"/>
      <c r="C414" s="147"/>
      <c r="D414" s="147"/>
      <c r="E414" s="147"/>
      <c r="F414" s="147"/>
      <c r="G414" s="147"/>
      <c r="H414" s="147"/>
      <c r="I414" s="147"/>
    </row>
    <row r="415" spans="1:9" ht="15" customHeight="1">
      <c r="A415" s="147"/>
      <c r="B415" s="147"/>
      <c r="C415" s="147"/>
      <c r="D415" s="147"/>
      <c r="E415" s="147"/>
      <c r="F415" s="147"/>
      <c r="G415" s="147"/>
      <c r="H415" s="147"/>
      <c r="I415" s="147"/>
    </row>
    <row r="416" spans="1:9" ht="15" customHeight="1">
      <c r="A416" s="147"/>
      <c r="B416" s="147"/>
      <c r="C416" s="147"/>
      <c r="D416" s="147"/>
      <c r="E416" s="147"/>
      <c r="F416" s="147"/>
      <c r="G416" s="147"/>
      <c r="H416" s="147"/>
      <c r="I416" s="147"/>
    </row>
    <row r="417" spans="1:9" ht="15" customHeight="1">
      <c r="A417" s="147"/>
      <c r="B417" s="147"/>
      <c r="C417" s="147"/>
      <c r="D417" s="147"/>
      <c r="E417" s="147"/>
      <c r="F417" s="147"/>
      <c r="G417" s="147"/>
      <c r="H417" s="147"/>
      <c r="I417" s="147"/>
    </row>
    <row r="418" spans="1:9" ht="15" customHeight="1">
      <c r="A418" s="147"/>
      <c r="B418" s="147"/>
      <c r="C418" s="147"/>
      <c r="D418" s="147"/>
      <c r="E418" s="147"/>
      <c r="F418" s="147"/>
      <c r="G418" s="147"/>
      <c r="H418" s="147"/>
      <c r="I418" s="147"/>
    </row>
    <row r="419" spans="1:9" ht="15" customHeight="1">
      <c r="A419" s="147"/>
      <c r="B419" s="147"/>
      <c r="C419" s="147"/>
      <c r="D419" s="147"/>
      <c r="E419" s="147"/>
      <c r="F419" s="147"/>
      <c r="G419" s="147"/>
      <c r="H419" s="147"/>
      <c r="I419" s="147"/>
    </row>
    <row r="420" spans="1:9" ht="15" customHeight="1">
      <c r="A420" s="147"/>
      <c r="B420" s="147"/>
      <c r="C420" s="147"/>
      <c r="D420" s="147"/>
      <c r="E420" s="147"/>
      <c r="F420" s="147"/>
      <c r="G420" s="147"/>
      <c r="H420" s="147"/>
      <c r="I420" s="147"/>
    </row>
    <row r="421" spans="1:9" ht="15" customHeight="1">
      <c r="A421" s="147"/>
      <c r="B421" s="147"/>
      <c r="C421" s="147"/>
      <c r="D421" s="147"/>
      <c r="E421" s="147"/>
      <c r="F421" s="147"/>
      <c r="G421" s="147"/>
      <c r="H421" s="147"/>
      <c r="I421" s="147"/>
    </row>
    <row r="422" spans="1:9" ht="15" customHeight="1">
      <c r="A422" s="147"/>
      <c r="B422" s="147"/>
      <c r="C422" s="147"/>
      <c r="D422" s="147"/>
      <c r="E422" s="147"/>
      <c r="F422" s="147"/>
      <c r="G422" s="147"/>
      <c r="H422" s="147"/>
      <c r="I422" s="147"/>
    </row>
    <row r="423" spans="1:9" ht="15" customHeight="1">
      <c r="A423" s="147"/>
      <c r="B423" s="147"/>
      <c r="C423" s="147"/>
      <c r="D423" s="147"/>
      <c r="E423" s="147"/>
      <c r="F423" s="147"/>
      <c r="G423" s="147"/>
      <c r="H423" s="147"/>
      <c r="I423" s="147"/>
    </row>
    <row r="424" spans="1:9" ht="15" customHeight="1">
      <c r="A424" s="147"/>
      <c r="B424" s="147"/>
      <c r="C424" s="147"/>
      <c r="D424" s="147"/>
      <c r="E424" s="147"/>
      <c r="F424" s="147"/>
      <c r="G424" s="147"/>
      <c r="H424" s="147"/>
      <c r="I424" s="147"/>
    </row>
    <row r="425" spans="1:9" ht="15" customHeight="1">
      <c r="A425" s="147"/>
      <c r="B425" s="147"/>
      <c r="C425" s="147"/>
      <c r="D425" s="147"/>
      <c r="E425" s="147"/>
      <c r="F425" s="147"/>
      <c r="G425" s="147"/>
      <c r="H425" s="147"/>
      <c r="I425" s="147"/>
    </row>
    <row r="426" spans="1:9" ht="15" customHeight="1">
      <c r="A426" s="147"/>
      <c r="B426" s="147"/>
      <c r="C426" s="147"/>
      <c r="D426" s="147"/>
      <c r="E426" s="147"/>
      <c r="F426" s="147"/>
      <c r="G426" s="147"/>
      <c r="H426" s="147"/>
      <c r="I426" s="147"/>
    </row>
    <row r="427" spans="1:9" ht="15" customHeight="1">
      <c r="A427" s="147"/>
      <c r="B427" s="147"/>
      <c r="C427" s="147"/>
      <c r="D427" s="147"/>
      <c r="E427" s="147"/>
      <c r="F427" s="147"/>
      <c r="G427" s="147"/>
      <c r="H427" s="147"/>
      <c r="I427" s="147"/>
    </row>
    <row r="428" spans="1:9" ht="15" customHeight="1">
      <c r="A428" s="147"/>
      <c r="B428" s="147"/>
      <c r="C428" s="147"/>
      <c r="D428" s="147"/>
      <c r="E428" s="147"/>
      <c r="F428" s="147"/>
      <c r="G428" s="147"/>
      <c r="H428" s="147"/>
      <c r="I428" s="147"/>
    </row>
    <row r="429" spans="1:9" ht="15" customHeight="1">
      <c r="A429" s="147"/>
      <c r="B429" s="147"/>
      <c r="C429" s="147"/>
      <c r="D429" s="147"/>
      <c r="E429" s="147"/>
      <c r="F429" s="147"/>
      <c r="G429" s="147"/>
      <c r="H429" s="147"/>
      <c r="I429" s="147"/>
    </row>
    <row r="430" spans="1:9" ht="15" customHeight="1">
      <c r="A430" s="147"/>
      <c r="B430" s="147"/>
      <c r="C430" s="147"/>
      <c r="D430" s="147"/>
      <c r="E430" s="147"/>
      <c r="F430" s="147"/>
      <c r="G430" s="147"/>
      <c r="H430" s="147"/>
      <c r="I430" s="147"/>
    </row>
    <row r="431" spans="1:9" ht="15" customHeight="1">
      <c r="A431" s="147"/>
      <c r="B431" s="147"/>
      <c r="C431" s="147"/>
      <c r="D431" s="147"/>
      <c r="E431" s="147"/>
      <c r="F431" s="147"/>
      <c r="G431" s="147"/>
      <c r="H431" s="147"/>
      <c r="I431" s="147"/>
    </row>
    <row r="432" spans="1:9" ht="15" customHeight="1">
      <c r="A432" s="147"/>
      <c r="B432" s="147"/>
      <c r="C432" s="147"/>
      <c r="D432" s="147"/>
      <c r="E432" s="147"/>
      <c r="F432" s="147"/>
      <c r="G432" s="147"/>
      <c r="H432" s="147"/>
      <c r="I432" s="147"/>
    </row>
    <row r="433" spans="1:9" ht="15" customHeight="1">
      <c r="A433" s="147"/>
      <c r="B433" s="147"/>
      <c r="C433" s="147"/>
      <c r="D433" s="147"/>
      <c r="E433" s="147"/>
      <c r="F433" s="147"/>
      <c r="G433" s="147"/>
      <c r="H433" s="147"/>
      <c r="I433" s="147"/>
    </row>
    <row r="434" spans="1:9" ht="15" customHeight="1">
      <c r="A434" s="147"/>
      <c r="B434" s="147"/>
      <c r="C434" s="147"/>
      <c r="D434" s="147"/>
      <c r="E434" s="147"/>
      <c r="F434" s="147"/>
      <c r="G434" s="147"/>
      <c r="H434" s="147"/>
      <c r="I434" s="147"/>
    </row>
    <row r="435" spans="1:9" ht="15" customHeight="1">
      <c r="A435" s="147"/>
      <c r="B435" s="147"/>
      <c r="C435" s="147"/>
      <c r="D435" s="147"/>
      <c r="E435" s="147"/>
      <c r="F435" s="147"/>
      <c r="G435" s="147"/>
      <c r="H435" s="147"/>
      <c r="I435" s="147"/>
    </row>
    <row r="436" spans="1:9" ht="15" customHeight="1">
      <c r="A436" s="147"/>
      <c r="B436" s="147"/>
      <c r="C436" s="147"/>
      <c r="D436" s="147"/>
      <c r="E436" s="147"/>
      <c r="F436" s="147"/>
      <c r="G436" s="147"/>
      <c r="H436" s="147"/>
      <c r="I436" s="147"/>
    </row>
    <row r="437" spans="1:9" ht="15" customHeight="1">
      <c r="A437" s="147"/>
      <c r="B437" s="147"/>
      <c r="C437" s="147"/>
      <c r="D437" s="147"/>
      <c r="E437" s="147"/>
      <c r="F437" s="147"/>
      <c r="G437" s="147"/>
      <c r="H437" s="147"/>
      <c r="I437" s="147"/>
    </row>
    <row r="438" spans="1:9" ht="15" customHeight="1">
      <c r="A438" s="147"/>
      <c r="B438" s="147"/>
      <c r="C438" s="147"/>
      <c r="D438" s="147"/>
      <c r="E438" s="147"/>
      <c r="F438" s="147"/>
      <c r="G438" s="147"/>
      <c r="H438" s="147"/>
      <c r="I438" s="147"/>
    </row>
    <row r="439" spans="1:9" ht="15" customHeight="1">
      <c r="A439" s="147"/>
      <c r="B439" s="147"/>
      <c r="C439" s="147"/>
      <c r="D439" s="147"/>
      <c r="E439" s="147"/>
      <c r="F439" s="147"/>
      <c r="G439" s="147"/>
      <c r="H439" s="147"/>
      <c r="I439" s="147"/>
    </row>
    <row r="440" spans="1:9" ht="15" customHeight="1">
      <c r="A440" s="147"/>
      <c r="B440" s="147"/>
      <c r="C440" s="147"/>
      <c r="D440" s="147"/>
      <c r="E440" s="147"/>
      <c r="F440" s="147"/>
      <c r="G440" s="147"/>
      <c r="H440" s="147"/>
      <c r="I440" s="147"/>
    </row>
    <row r="441" spans="1:9" ht="15" customHeight="1">
      <c r="A441" s="147"/>
      <c r="B441" s="147"/>
      <c r="C441" s="147"/>
      <c r="D441" s="147"/>
      <c r="E441" s="147"/>
      <c r="F441" s="147"/>
      <c r="G441" s="147"/>
      <c r="H441" s="147"/>
      <c r="I441" s="147"/>
    </row>
    <row r="442" spans="1:9" ht="15" customHeight="1">
      <c r="A442" s="147"/>
      <c r="B442" s="147"/>
      <c r="C442" s="147"/>
      <c r="D442" s="147"/>
      <c r="E442" s="147"/>
      <c r="F442" s="147"/>
      <c r="G442" s="147"/>
      <c r="H442" s="147"/>
      <c r="I442" s="147"/>
    </row>
    <row r="443" spans="1:9" ht="15" customHeight="1">
      <c r="A443" s="147"/>
      <c r="B443" s="147"/>
      <c r="C443" s="147"/>
      <c r="D443" s="147"/>
      <c r="E443" s="147"/>
      <c r="F443" s="147"/>
      <c r="G443" s="147"/>
      <c r="H443" s="147"/>
      <c r="I443" s="147"/>
    </row>
    <row r="444" spans="1:9" ht="15" customHeight="1">
      <c r="A444" s="147"/>
      <c r="B444" s="147"/>
      <c r="C444" s="147"/>
      <c r="D444" s="147"/>
      <c r="E444" s="147"/>
      <c r="F444" s="147"/>
      <c r="G444" s="147"/>
      <c r="H444" s="147"/>
      <c r="I444" s="147"/>
    </row>
    <row r="445" spans="1:9" ht="15" customHeight="1">
      <c r="A445" s="147"/>
      <c r="B445" s="147"/>
      <c r="C445" s="147"/>
      <c r="D445" s="147"/>
      <c r="E445" s="147"/>
      <c r="F445" s="147"/>
      <c r="G445" s="147"/>
      <c r="H445" s="147"/>
      <c r="I445" s="147"/>
    </row>
    <row r="446" spans="1:9" ht="15" customHeight="1">
      <c r="A446" s="147"/>
      <c r="B446" s="147"/>
      <c r="C446" s="147"/>
      <c r="D446" s="147"/>
      <c r="E446" s="147"/>
      <c r="F446" s="147"/>
      <c r="G446" s="147"/>
      <c r="H446" s="147"/>
      <c r="I446" s="147"/>
    </row>
    <row r="447" spans="1:9" ht="15" customHeight="1">
      <c r="A447" s="147"/>
      <c r="B447" s="147"/>
      <c r="C447" s="147"/>
      <c r="D447" s="147"/>
      <c r="E447" s="147"/>
      <c r="F447" s="147"/>
      <c r="G447" s="147"/>
      <c r="H447" s="147"/>
      <c r="I447" s="147"/>
    </row>
    <row r="448" spans="1:9" ht="15" customHeight="1">
      <c r="A448" s="147"/>
      <c r="B448" s="147"/>
      <c r="C448" s="147"/>
      <c r="D448" s="147"/>
      <c r="E448" s="147"/>
      <c r="F448" s="147"/>
      <c r="G448" s="147"/>
      <c r="H448" s="147"/>
      <c r="I448" s="147"/>
    </row>
    <row r="449" spans="1:9" ht="15" customHeight="1">
      <c r="A449" s="147"/>
      <c r="B449" s="147"/>
      <c r="C449" s="147"/>
      <c r="D449" s="147"/>
      <c r="E449" s="147"/>
      <c r="F449" s="147"/>
      <c r="G449" s="147"/>
      <c r="H449" s="147"/>
      <c r="I449" s="147"/>
    </row>
    <row r="450" spans="1:9" ht="15" customHeight="1">
      <c r="A450" s="147"/>
      <c r="B450" s="147"/>
      <c r="C450" s="147"/>
      <c r="D450" s="147"/>
      <c r="E450" s="147"/>
      <c r="F450" s="147"/>
      <c r="G450" s="147"/>
      <c r="H450" s="147"/>
      <c r="I450" s="147"/>
    </row>
    <row r="451" spans="1:9" ht="15" customHeight="1">
      <c r="A451" s="147"/>
      <c r="B451" s="147"/>
      <c r="C451" s="147"/>
      <c r="D451" s="147"/>
      <c r="E451" s="147"/>
      <c r="F451" s="147"/>
      <c r="G451" s="147"/>
      <c r="H451" s="147"/>
      <c r="I451" s="147"/>
    </row>
    <row r="452" spans="1:9" ht="15" customHeight="1">
      <c r="A452" s="147"/>
      <c r="B452" s="147"/>
      <c r="C452" s="147"/>
      <c r="D452" s="147"/>
      <c r="E452" s="147"/>
      <c r="F452" s="147"/>
      <c r="G452" s="147"/>
      <c r="H452" s="147"/>
      <c r="I452" s="147"/>
    </row>
    <row r="453" spans="1:9" ht="15" customHeight="1">
      <c r="A453" s="147"/>
      <c r="B453" s="147"/>
      <c r="C453" s="147"/>
      <c r="D453" s="147"/>
      <c r="E453" s="147"/>
      <c r="F453" s="147"/>
      <c r="G453" s="147"/>
      <c r="H453" s="147"/>
      <c r="I453" s="147"/>
    </row>
    <row r="454" spans="1:9" ht="15" customHeight="1">
      <c r="A454" s="147"/>
      <c r="B454" s="147"/>
      <c r="C454" s="147"/>
      <c r="D454" s="147"/>
      <c r="E454" s="147"/>
      <c r="F454" s="147"/>
      <c r="G454" s="147"/>
      <c r="H454" s="147"/>
      <c r="I454" s="147"/>
    </row>
    <row r="455" spans="1:9" ht="15" customHeight="1">
      <c r="A455" s="147"/>
      <c r="B455" s="147"/>
      <c r="C455" s="147"/>
      <c r="D455" s="147"/>
      <c r="E455" s="147"/>
      <c r="F455" s="147"/>
      <c r="G455" s="147"/>
      <c r="H455" s="147"/>
      <c r="I455" s="147"/>
    </row>
    <row r="456" spans="1:9" ht="15" customHeight="1">
      <c r="A456" s="147"/>
      <c r="B456" s="147"/>
      <c r="C456" s="147"/>
      <c r="D456" s="147"/>
      <c r="E456" s="147"/>
      <c r="F456" s="147"/>
      <c r="G456" s="147"/>
      <c r="H456" s="147"/>
      <c r="I456" s="147"/>
    </row>
    <row r="457" spans="1:9" ht="15" customHeight="1">
      <c r="A457" s="147"/>
      <c r="B457" s="147"/>
      <c r="C457" s="147"/>
      <c r="D457" s="147"/>
      <c r="E457" s="147"/>
      <c r="F457" s="147"/>
      <c r="G457" s="147"/>
      <c r="H457" s="147"/>
      <c r="I457" s="147"/>
    </row>
    <row r="458" spans="1:9" ht="15" customHeight="1">
      <c r="A458" s="147"/>
      <c r="B458" s="147"/>
      <c r="C458" s="147"/>
      <c r="D458" s="147"/>
      <c r="E458" s="147"/>
      <c r="F458" s="147"/>
      <c r="G458" s="147"/>
      <c r="H458" s="147"/>
      <c r="I458" s="147"/>
    </row>
    <row r="459" spans="1:9" ht="15" customHeight="1">
      <c r="A459" s="147"/>
      <c r="B459" s="147"/>
      <c r="C459" s="147"/>
      <c r="D459" s="147"/>
      <c r="E459" s="147"/>
      <c r="F459" s="147"/>
      <c r="G459" s="147"/>
      <c r="H459" s="147"/>
      <c r="I459" s="147"/>
    </row>
    <row r="460" spans="1:9" ht="15" customHeight="1">
      <c r="A460" s="147"/>
      <c r="B460" s="147"/>
      <c r="C460" s="147"/>
      <c r="D460" s="147"/>
      <c r="E460" s="147"/>
      <c r="F460" s="147"/>
      <c r="G460" s="147"/>
      <c r="H460" s="147"/>
      <c r="I460" s="147"/>
    </row>
    <row r="461" spans="1:9" ht="15" customHeight="1">
      <c r="A461" s="147"/>
      <c r="B461" s="147"/>
      <c r="C461" s="147"/>
      <c r="D461" s="147"/>
      <c r="E461" s="147"/>
      <c r="F461" s="147"/>
      <c r="G461" s="147"/>
      <c r="H461" s="147"/>
      <c r="I461" s="147"/>
    </row>
    <row r="462" spans="1:9" ht="15" customHeight="1">
      <c r="A462" s="147"/>
      <c r="B462" s="147"/>
      <c r="C462" s="147"/>
      <c r="D462" s="147"/>
      <c r="E462" s="147"/>
      <c r="F462" s="147"/>
      <c r="G462" s="147"/>
      <c r="H462" s="147"/>
      <c r="I462" s="147"/>
    </row>
    <row r="463" spans="1:9" ht="15" customHeight="1">
      <c r="A463" s="147"/>
      <c r="B463" s="147"/>
      <c r="C463" s="147"/>
      <c r="D463" s="147"/>
      <c r="E463" s="147"/>
      <c r="F463" s="147"/>
      <c r="G463" s="147"/>
      <c r="H463" s="147"/>
      <c r="I463" s="147"/>
    </row>
    <row r="464" spans="1:9" ht="15" customHeight="1">
      <c r="A464" s="147"/>
      <c r="B464" s="147"/>
      <c r="C464" s="147"/>
      <c r="D464" s="147"/>
      <c r="E464" s="147"/>
      <c r="F464" s="147"/>
      <c r="G464" s="147"/>
      <c r="H464" s="147"/>
      <c r="I464" s="147"/>
    </row>
    <row r="465" spans="1:9" ht="15" customHeight="1">
      <c r="A465" s="147"/>
      <c r="B465" s="147"/>
      <c r="C465" s="147"/>
      <c r="D465" s="147"/>
      <c r="E465" s="147"/>
      <c r="F465" s="147"/>
      <c r="G465" s="147"/>
      <c r="H465" s="147"/>
      <c r="I465" s="147"/>
    </row>
    <row r="466" spans="1:9" ht="15" customHeight="1">
      <c r="A466" s="147"/>
      <c r="B466" s="147"/>
      <c r="C466" s="147"/>
      <c r="D466" s="147"/>
      <c r="E466" s="147"/>
      <c r="F466" s="147"/>
      <c r="G466" s="147"/>
      <c r="H466" s="147"/>
      <c r="I466" s="147"/>
    </row>
    <row r="467" spans="1:9" ht="15" customHeight="1">
      <c r="A467" s="147"/>
      <c r="B467" s="147"/>
      <c r="C467" s="147"/>
      <c r="D467" s="147"/>
      <c r="E467" s="147"/>
      <c r="F467" s="147"/>
      <c r="G467" s="147"/>
      <c r="H467" s="147"/>
      <c r="I467" s="147"/>
    </row>
    <row r="468" spans="1:9" ht="15" customHeight="1">
      <c r="A468" s="147"/>
      <c r="B468" s="147"/>
      <c r="C468" s="147"/>
      <c r="D468" s="147"/>
      <c r="E468" s="147"/>
      <c r="F468" s="147"/>
      <c r="G468" s="147"/>
      <c r="H468" s="147"/>
      <c r="I468" s="147"/>
    </row>
    <row r="469" spans="1:9" ht="15" customHeight="1">
      <c r="A469" s="147"/>
      <c r="B469" s="147"/>
      <c r="C469" s="147"/>
      <c r="D469" s="147"/>
      <c r="E469" s="147"/>
      <c r="F469" s="147"/>
      <c r="G469" s="147"/>
      <c r="H469" s="147"/>
      <c r="I469" s="147"/>
    </row>
    <row r="470" spans="1:9" ht="15" customHeight="1">
      <c r="A470" s="147"/>
      <c r="B470" s="147"/>
      <c r="C470" s="147"/>
      <c r="D470" s="147"/>
      <c r="E470" s="147"/>
      <c r="F470" s="147"/>
      <c r="G470" s="147"/>
      <c r="H470" s="147"/>
      <c r="I470" s="147"/>
    </row>
    <row r="471" spans="1:9" ht="15" customHeight="1">
      <c r="A471" s="147"/>
      <c r="B471" s="147"/>
      <c r="C471" s="147"/>
      <c r="D471" s="147"/>
      <c r="E471" s="147"/>
      <c r="F471" s="147"/>
      <c r="G471" s="147"/>
      <c r="H471" s="147"/>
      <c r="I471" s="147"/>
    </row>
    <row r="472" spans="1:9" ht="15" customHeight="1">
      <c r="A472" s="147"/>
      <c r="B472" s="147"/>
      <c r="C472" s="147"/>
      <c r="D472" s="147"/>
      <c r="E472" s="147"/>
      <c r="F472" s="147"/>
      <c r="G472" s="147"/>
      <c r="H472" s="147"/>
      <c r="I472" s="147"/>
    </row>
    <row r="473" spans="1:9" ht="15" customHeight="1">
      <c r="A473" s="147"/>
      <c r="B473" s="147"/>
      <c r="C473" s="147"/>
      <c r="D473" s="147"/>
      <c r="E473" s="147"/>
      <c r="F473" s="147"/>
      <c r="G473" s="147"/>
      <c r="H473" s="147"/>
      <c r="I473" s="147"/>
    </row>
    <row r="474" spans="1:9" ht="15" customHeight="1">
      <c r="A474" s="147"/>
      <c r="B474" s="147"/>
      <c r="C474" s="147"/>
      <c r="D474" s="147"/>
      <c r="E474" s="147"/>
      <c r="F474" s="147"/>
      <c r="G474" s="147"/>
      <c r="H474" s="147"/>
      <c r="I474" s="147"/>
    </row>
    <row r="475" spans="1:9" ht="15" customHeight="1">
      <c r="A475" s="147"/>
      <c r="B475" s="147"/>
      <c r="C475" s="147"/>
      <c r="D475" s="147"/>
      <c r="E475" s="147"/>
      <c r="F475" s="147"/>
      <c r="G475" s="147"/>
      <c r="H475" s="147"/>
      <c r="I475" s="147"/>
    </row>
    <row r="476" spans="1:9" ht="15" customHeight="1">
      <c r="A476" s="147"/>
      <c r="B476" s="147"/>
      <c r="C476" s="147"/>
      <c r="D476" s="147"/>
      <c r="E476" s="147"/>
      <c r="F476" s="147"/>
      <c r="G476" s="147"/>
      <c r="H476" s="147"/>
      <c r="I476" s="147"/>
    </row>
    <row r="477" spans="1:9" ht="15" customHeight="1">
      <c r="A477" s="147"/>
      <c r="B477" s="147"/>
      <c r="C477" s="147"/>
      <c r="D477" s="147"/>
      <c r="E477" s="147"/>
      <c r="F477" s="147"/>
      <c r="G477" s="147"/>
      <c r="H477" s="147"/>
      <c r="I477" s="147"/>
    </row>
    <row r="478" spans="1:9" ht="15" customHeight="1">
      <c r="A478" s="147"/>
      <c r="B478" s="147"/>
      <c r="C478" s="147"/>
      <c r="D478" s="147"/>
      <c r="E478" s="147"/>
      <c r="F478" s="147"/>
      <c r="G478" s="147"/>
      <c r="H478" s="147"/>
      <c r="I478" s="147"/>
    </row>
    <row r="479" spans="1:9" ht="15" customHeight="1">
      <c r="A479" s="147"/>
      <c r="B479" s="147"/>
      <c r="C479" s="147"/>
      <c r="D479" s="147"/>
      <c r="E479" s="147"/>
      <c r="F479" s="147"/>
      <c r="G479" s="147"/>
      <c r="H479" s="147"/>
      <c r="I479" s="147"/>
    </row>
    <row r="480" spans="1:9" ht="15" customHeight="1">
      <c r="A480" s="147"/>
      <c r="B480" s="147"/>
      <c r="C480" s="147"/>
      <c r="D480" s="147"/>
      <c r="E480" s="147"/>
      <c r="F480" s="147"/>
      <c r="G480" s="147"/>
      <c r="H480" s="147"/>
      <c r="I480" s="147"/>
    </row>
    <row r="481" spans="1:9" ht="15" customHeight="1">
      <c r="A481" s="147"/>
      <c r="B481" s="147"/>
      <c r="C481" s="147"/>
      <c r="D481" s="147"/>
      <c r="E481" s="147"/>
      <c r="F481" s="147"/>
      <c r="G481" s="147"/>
      <c r="H481" s="147"/>
      <c r="I481" s="147"/>
    </row>
    <row r="482" spans="1:9" ht="15" customHeight="1">
      <c r="A482" s="147"/>
      <c r="B482" s="147"/>
      <c r="C482" s="147"/>
      <c r="D482" s="147"/>
      <c r="E482" s="147"/>
      <c r="F482" s="147"/>
      <c r="G482" s="147"/>
      <c r="H482" s="147"/>
      <c r="I482" s="147"/>
    </row>
    <row r="483" spans="1:9" ht="15" customHeight="1">
      <c r="A483" s="147"/>
      <c r="B483" s="147"/>
      <c r="C483" s="147"/>
      <c r="D483" s="147"/>
      <c r="E483" s="147"/>
      <c r="F483" s="147"/>
      <c r="G483" s="147"/>
      <c r="H483" s="147"/>
      <c r="I483" s="147"/>
    </row>
    <row r="484" spans="1:9" ht="15" customHeight="1">
      <c r="A484" s="147"/>
      <c r="B484" s="147"/>
      <c r="C484" s="147"/>
      <c r="D484" s="147"/>
      <c r="E484" s="147"/>
      <c r="F484" s="147"/>
      <c r="G484" s="147"/>
      <c r="H484" s="147"/>
      <c r="I484" s="147"/>
    </row>
    <row r="485" spans="1:9" ht="15" customHeight="1">
      <c r="A485" s="147"/>
      <c r="B485" s="147"/>
      <c r="C485" s="147"/>
      <c r="D485" s="147"/>
      <c r="E485" s="147"/>
      <c r="F485" s="147"/>
      <c r="G485" s="147"/>
      <c r="H485" s="147"/>
      <c r="I485" s="147"/>
    </row>
    <row r="486" spans="1:9" ht="15" customHeight="1">
      <c r="A486" s="147"/>
      <c r="B486" s="147"/>
      <c r="C486" s="147"/>
      <c r="D486" s="147"/>
      <c r="E486" s="147"/>
      <c r="F486" s="147"/>
      <c r="G486" s="147"/>
      <c r="H486" s="147"/>
      <c r="I486" s="147"/>
    </row>
    <row r="487" spans="1:9" ht="15" customHeight="1">
      <c r="A487" s="147"/>
      <c r="B487" s="147"/>
      <c r="C487" s="147"/>
      <c r="D487" s="147"/>
      <c r="E487" s="147"/>
      <c r="F487" s="147"/>
      <c r="G487" s="147"/>
      <c r="H487" s="147"/>
      <c r="I487" s="147"/>
    </row>
    <row r="488" spans="1:9" ht="15" customHeight="1">
      <c r="A488" s="147"/>
      <c r="B488" s="147"/>
      <c r="C488" s="147"/>
      <c r="D488" s="147"/>
      <c r="E488" s="147"/>
      <c r="F488" s="147"/>
      <c r="G488" s="147"/>
      <c r="H488" s="147"/>
      <c r="I488" s="147"/>
    </row>
    <row r="489" spans="1:9" ht="15" customHeight="1">
      <c r="A489" s="147"/>
      <c r="B489" s="147"/>
      <c r="C489" s="147"/>
      <c r="D489" s="147"/>
      <c r="E489" s="147"/>
      <c r="F489" s="147"/>
      <c r="G489" s="147"/>
      <c r="H489" s="147"/>
      <c r="I489" s="147"/>
    </row>
    <row r="490" spans="1:9" ht="15" customHeight="1">
      <c r="A490" s="147"/>
      <c r="B490" s="147"/>
      <c r="C490" s="147"/>
      <c r="D490" s="147"/>
      <c r="E490" s="147"/>
      <c r="F490" s="147"/>
      <c r="G490" s="147"/>
      <c r="H490" s="147"/>
      <c r="I490" s="147"/>
    </row>
    <row r="491" spans="1:9" ht="15" customHeight="1">
      <c r="A491" s="147"/>
      <c r="B491" s="147"/>
      <c r="C491" s="147"/>
      <c r="D491" s="147"/>
      <c r="E491" s="147"/>
      <c r="F491" s="147"/>
      <c r="G491" s="147"/>
      <c r="H491" s="147"/>
      <c r="I491" s="147"/>
    </row>
    <row r="492" spans="1:9" ht="15" customHeight="1">
      <c r="A492" s="147"/>
      <c r="B492" s="147"/>
      <c r="C492" s="147"/>
      <c r="D492" s="147"/>
      <c r="E492" s="147"/>
      <c r="F492" s="147"/>
      <c r="G492" s="147"/>
      <c r="H492" s="147"/>
      <c r="I492" s="147"/>
    </row>
    <row r="493" spans="1:9" ht="15" customHeight="1">
      <c r="A493" s="147"/>
      <c r="B493" s="147"/>
      <c r="C493" s="147"/>
      <c r="D493" s="147"/>
      <c r="E493" s="147"/>
      <c r="F493" s="147"/>
      <c r="G493" s="147"/>
      <c r="H493" s="147"/>
      <c r="I493" s="147"/>
    </row>
    <row r="494" spans="1:9" ht="15" customHeight="1">
      <c r="A494" s="147"/>
      <c r="B494" s="147"/>
      <c r="C494" s="147"/>
      <c r="D494" s="147"/>
      <c r="E494" s="147"/>
      <c r="F494" s="147"/>
      <c r="G494" s="147"/>
      <c r="H494" s="147"/>
      <c r="I494" s="147"/>
    </row>
    <row r="495" spans="1:9" ht="15" customHeight="1">
      <c r="A495" s="147"/>
      <c r="B495" s="147"/>
      <c r="C495" s="147"/>
      <c r="D495" s="147"/>
      <c r="E495" s="147"/>
      <c r="F495" s="147"/>
      <c r="G495" s="147"/>
      <c r="H495" s="147"/>
      <c r="I495" s="147"/>
    </row>
    <row r="496" spans="1:9" ht="15" customHeight="1">
      <c r="A496" s="147"/>
      <c r="B496" s="147"/>
      <c r="C496" s="147"/>
      <c r="D496" s="147"/>
      <c r="E496" s="147"/>
      <c r="F496" s="147"/>
      <c r="G496" s="147"/>
      <c r="H496" s="147"/>
      <c r="I496" s="147"/>
    </row>
    <row r="497" spans="1:9" ht="15" customHeight="1">
      <c r="A497" s="147"/>
      <c r="B497" s="147"/>
      <c r="C497" s="147"/>
      <c r="D497" s="147"/>
      <c r="E497" s="147"/>
      <c r="F497" s="147"/>
      <c r="G497" s="147"/>
      <c r="H497" s="147"/>
      <c r="I497" s="147"/>
    </row>
    <row r="498" spans="1:9" ht="15" customHeight="1">
      <c r="A498" s="147"/>
      <c r="B498" s="147"/>
      <c r="C498" s="147"/>
      <c r="D498" s="147"/>
      <c r="E498" s="147"/>
      <c r="F498" s="147"/>
      <c r="G498" s="147"/>
      <c r="H498" s="147"/>
      <c r="I498" s="147"/>
    </row>
    <row r="499" spans="1:9" ht="15" customHeight="1">
      <c r="A499" s="147"/>
      <c r="B499" s="147"/>
      <c r="C499" s="147"/>
      <c r="D499" s="147"/>
      <c r="E499" s="147"/>
      <c r="F499" s="147"/>
      <c r="G499" s="147"/>
      <c r="H499" s="147"/>
      <c r="I499" s="147"/>
    </row>
    <row r="500" spans="1:9" ht="15" customHeight="1">
      <c r="A500" s="147"/>
      <c r="B500" s="147"/>
      <c r="C500" s="147"/>
      <c r="D500" s="147"/>
      <c r="E500" s="147"/>
      <c r="F500" s="147"/>
      <c r="G500" s="147"/>
      <c r="H500" s="147"/>
      <c r="I500" s="147"/>
    </row>
    <row r="501" spans="1:9" ht="15" customHeight="1">
      <c r="A501" s="147"/>
      <c r="B501" s="147"/>
      <c r="C501" s="147"/>
      <c r="D501" s="147"/>
      <c r="E501" s="147"/>
      <c r="F501" s="147"/>
      <c r="G501" s="147"/>
      <c r="H501" s="147"/>
      <c r="I501" s="147"/>
    </row>
    <row r="502" spans="1:9" ht="15" customHeight="1">
      <c r="A502" s="147"/>
      <c r="B502" s="147"/>
      <c r="C502" s="147"/>
      <c r="D502" s="147"/>
      <c r="E502" s="147"/>
      <c r="F502" s="147"/>
      <c r="G502" s="147"/>
      <c r="H502" s="147"/>
      <c r="I502" s="147"/>
    </row>
    <row r="503" spans="1:9" ht="15" customHeight="1">
      <c r="A503" s="147"/>
      <c r="B503" s="147"/>
      <c r="C503" s="147"/>
      <c r="D503" s="147"/>
      <c r="E503" s="147"/>
      <c r="F503" s="147"/>
      <c r="G503" s="147"/>
      <c r="H503" s="147"/>
      <c r="I503" s="147"/>
    </row>
    <row r="504" spans="1:9" ht="15" customHeight="1">
      <c r="A504" s="147"/>
      <c r="B504" s="147"/>
      <c r="C504" s="147"/>
      <c r="D504" s="147"/>
      <c r="E504" s="147"/>
      <c r="F504" s="147"/>
      <c r="G504" s="147"/>
      <c r="H504" s="147"/>
      <c r="I504" s="147"/>
    </row>
    <row r="505" spans="1:9" ht="15" customHeight="1">
      <c r="A505" s="147"/>
      <c r="B505" s="147"/>
      <c r="C505" s="147"/>
      <c r="D505" s="147"/>
      <c r="E505" s="147"/>
      <c r="F505" s="147"/>
      <c r="G505" s="147"/>
      <c r="H505" s="147"/>
      <c r="I505" s="147"/>
    </row>
    <row r="506" spans="1:9" ht="15" customHeight="1">
      <c r="A506" s="147"/>
      <c r="B506" s="147"/>
      <c r="C506" s="147"/>
      <c r="D506" s="147"/>
      <c r="E506" s="147"/>
      <c r="F506" s="147"/>
      <c r="G506" s="147"/>
      <c r="H506" s="147"/>
      <c r="I506" s="147"/>
    </row>
    <row r="507" spans="1:9" ht="15" customHeight="1">
      <c r="A507" s="147"/>
      <c r="B507" s="147"/>
      <c r="C507" s="147"/>
      <c r="D507" s="147"/>
      <c r="E507" s="147"/>
      <c r="F507" s="147"/>
      <c r="G507" s="147"/>
      <c r="H507" s="147"/>
      <c r="I507" s="147"/>
    </row>
    <row r="508" spans="1:9" ht="15" customHeight="1">
      <c r="A508" s="147"/>
      <c r="B508" s="147"/>
      <c r="C508" s="147"/>
      <c r="D508" s="147"/>
      <c r="E508" s="147"/>
      <c r="F508" s="147"/>
      <c r="G508" s="147"/>
      <c r="H508" s="147"/>
      <c r="I508" s="147"/>
    </row>
    <row r="509" spans="1:9" ht="15" customHeight="1">
      <c r="A509" s="147"/>
      <c r="B509" s="147"/>
      <c r="C509" s="147"/>
      <c r="D509" s="147"/>
      <c r="E509" s="147"/>
      <c r="F509" s="147"/>
      <c r="G509" s="147"/>
      <c r="H509" s="147"/>
      <c r="I509" s="147"/>
    </row>
    <row r="510" spans="1:9" ht="15" customHeight="1">
      <c r="A510" s="147"/>
      <c r="B510" s="147"/>
      <c r="C510" s="147"/>
      <c r="D510" s="147"/>
      <c r="E510" s="147"/>
      <c r="F510" s="147"/>
      <c r="G510" s="147"/>
      <c r="H510" s="147"/>
      <c r="I510" s="147"/>
    </row>
    <row r="511" spans="1:9" ht="15" customHeight="1">
      <c r="A511" s="147"/>
      <c r="B511" s="147"/>
      <c r="C511" s="147"/>
      <c r="D511" s="147"/>
      <c r="E511" s="147"/>
      <c r="F511" s="147"/>
      <c r="G511" s="147"/>
      <c r="H511" s="147"/>
      <c r="I511" s="147"/>
    </row>
    <row r="512" spans="1:9" ht="15" customHeight="1">
      <c r="A512" s="147"/>
      <c r="B512" s="147"/>
      <c r="C512" s="147"/>
      <c r="D512" s="147"/>
      <c r="E512" s="147"/>
      <c r="F512" s="147"/>
      <c r="G512" s="147"/>
      <c r="H512" s="147"/>
      <c r="I512" s="147"/>
    </row>
    <row r="513" spans="1:9" ht="15" customHeight="1">
      <c r="A513" s="147"/>
      <c r="B513" s="147"/>
      <c r="C513" s="147"/>
      <c r="D513" s="147"/>
      <c r="E513" s="147"/>
      <c r="F513" s="147"/>
      <c r="G513" s="147"/>
      <c r="H513" s="147"/>
      <c r="I513" s="147"/>
    </row>
    <row r="514" spans="1:9" ht="15" customHeight="1">
      <c r="A514" s="147"/>
      <c r="B514" s="147"/>
      <c r="C514" s="147"/>
      <c r="D514" s="147"/>
      <c r="E514" s="147"/>
      <c r="F514" s="147"/>
      <c r="G514" s="147"/>
      <c r="H514" s="147"/>
      <c r="I514" s="147"/>
    </row>
    <row r="515" spans="1:9" ht="15" customHeight="1">
      <c r="A515" s="147"/>
      <c r="B515" s="147"/>
      <c r="C515" s="147"/>
      <c r="D515" s="147"/>
      <c r="E515" s="147"/>
      <c r="F515" s="147"/>
      <c r="G515" s="147"/>
      <c r="H515" s="147"/>
      <c r="I515" s="147"/>
    </row>
    <row r="516" spans="1:9" ht="15" customHeight="1">
      <c r="A516" s="147"/>
      <c r="B516" s="147"/>
      <c r="C516" s="147"/>
      <c r="D516" s="147"/>
      <c r="E516" s="147"/>
      <c r="F516" s="147"/>
      <c r="G516" s="147"/>
      <c r="H516" s="147"/>
      <c r="I516" s="147"/>
    </row>
    <row r="517" spans="1:9" ht="15" customHeight="1">
      <c r="A517" s="147"/>
      <c r="B517" s="147"/>
      <c r="C517" s="147"/>
      <c r="D517" s="147"/>
      <c r="E517" s="147"/>
      <c r="F517" s="147"/>
      <c r="G517" s="147"/>
      <c r="H517" s="147"/>
      <c r="I517" s="147"/>
    </row>
    <row r="518" spans="1:9" ht="15" customHeight="1">
      <c r="A518" s="147"/>
      <c r="B518" s="147"/>
      <c r="C518" s="147"/>
      <c r="D518" s="147"/>
      <c r="E518" s="147"/>
      <c r="F518" s="147"/>
      <c r="G518" s="147"/>
      <c r="H518" s="147"/>
      <c r="I518" s="147"/>
    </row>
    <row r="519" spans="1:9" ht="15" customHeight="1">
      <c r="A519" s="147"/>
      <c r="B519" s="147"/>
      <c r="C519" s="147"/>
      <c r="D519" s="147"/>
      <c r="E519" s="147"/>
      <c r="F519" s="147"/>
      <c r="G519" s="147"/>
      <c r="H519" s="147"/>
      <c r="I519" s="147"/>
    </row>
    <row r="520" spans="1:9" ht="15" customHeight="1">
      <c r="A520" s="147"/>
      <c r="B520" s="147"/>
      <c r="C520" s="147"/>
      <c r="D520" s="147"/>
      <c r="E520" s="147"/>
      <c r="F520" s="147"/>
      <c r="G520" s="147"/>
      <c r="H520" s="147"/>
      <c r="I520" s="147"/>
    </row>
    <row r="521" spans="1:9" ht="15" customHeight="1">
      <c r="A521" s="147"/>
      <c r="B521" s="147"/>
      <c r="C521" s="147"/>
      <c r="D521" s="147"/>
      <c r="E521" s="147"/>
      <c r="F521" s="147"/>
      <c r="G521" s="147"/>
      <c r="H521" s="147"/>
      <c r="I521" s="147"/>
    </row>
    <row r="522" spans="1:9" ht="15" customHeight="1">
      <c r="A522" s="147"/>
      <c r="B522" s="147"/>
      <c r="C522" s="147"/>
      <c r="D522" s="147"/>
      <c r="E522" s="147"/>
      <c r="F522" s="147"/>
      <c r="G522" s="147"/>
      <c r="H522" s="147"/>
      <c r="I522" s="147"/>
    </row>
    <row r="523" spans="1:9" ht="15" customHeight="1">
      <c r="A523" s="147"/>
      <c r="B523" s="147"/>
      <c r="C523" s="147"/>
      <c r="D523" s="147"/>
      <c r="E523" s="147"/>
      <c r="F523" s="147"/>
      <c r="G523" s="147"/>
      <c r="H523" s="147"/>
      <c r="I523" s="147"/>
    </row>
    <row r="524" spans="1:9" ht="15" customHeight="1">
      <c r="A524" s="147"/>
      <c r="B524" s="147"/>
      <c r="C524" s="147"/>
      <c r="D524" s="147"/>
      <c r="E524" s="147"/>
      <c r="F524" s="147"/>
      <c r="G524" s="147"/>
      <c r="H524" s="147"/>
      <c r="I524" s="147"/>
    </row>
    <row r="525" spans="1:9" ht="15" customHeight="1">
      <c r="A525" s="147"/>
      <c r="B525" s="147"/>
      <c r="C525" s="147"/>
      <c r="D525" s="147"/>
      <c r="E525" s="147"/>
      <c r="F525" s="147"/>
      <c r="G525" s="147"/>
      <c r="H525" s="147"/>
      <c r="I525" s="147"/>
    </row>
    <row r="526" spans="1:9" ht="15" customHeight="1">
      <c r="A526" s="147"/>
      <c r="B526" s="147"/>
      <c r="C526" s="147"/>
      <c r="D526" s="147"/>
      <c r="E526" s="147"/>
      <c r="F526" s="147"/>
      <c r="G526" s="147"/>
      <c r="H526" s="147"/>
      <c r="I526" s="147"/>
    </row>
    <row r="527" spans="1:9" ht="15" customHeight="1">
      <c r="A527" s="147"/>
      <c r="B527" s="147"/>
      <c r="C527" s="147"/>
      <c r="D527" s="147"/>
      <c r="E527" s="147"/>
      <c r="F527" s="147"/>
      <c r="G527" s="147"/>
      <c r="H527" s="147"/>
      <c r="I527" s="147"/>
    </row>
    <row r="528" spans="1:9" ht="15" customHeight="1">
      <c r="A528" s="147"/>
      <c r="B528" s="147"/>
      <c r="C528" s="147"/>
      <c r="D528" s="147"/>
      <c r="E528" s="147"/>
      <c r="F528" s="147"/>
      <c r="G528" s="147"/>
      <c r="H528" s="147"/>
      <c r="I528" s="147"/>
    </row>
    <row r="529" spans="1:9" ht="15" customHeight="1">
      <c r="A529" s="147"/>
      <c r="B529" s="147"/>
      <c r="C529" s="147"/>
      <c r="D529" s="147"/>
      <c r="E529" s="147"/>
      <c r="F529" s="147"/>
      <c r="G529" s="147"/>
      <c r="H529" s="147"/>
      <c r="I529" s="147"/>
    </row>
    <row r="530" spans="1:9" ht="15" customHeight="1">
      <c r="A530" s="147"/>
      <c r="B530" s="147"/>
      <c r="C530" s="147"/>
      <c r="D530" s="147"/>
      <c r="E530" s="147"/>
      <c r="F530" s="147"/>
      <c r="G530" s="147"/>
      <c r="H530" s="147"/>
      <c r="I530" s="147"/>
    </row>
    <row r="531" spans="1:9" ht="15" customHeight="1">
      <c r="A531" s="147"/>
      <c r="B531" s="147"/>
      <c r="C531" s="147"/>
      <c r="D531" s="147"/>
      <c r="E531" s="147"/>
      <c r="F531" s="147"/>
      <c r="G531" s="147"/>
      <c r="H531" s="147"/>
      <c r="I531" s="147"/>
    </row>
    <row r="532" spans="1:9" ht="15" customHeight="1">
      <c r="A532" s="147"/>
      <c r="B532" s="147"/>
      <c r="C532" s="147"/>
      <c r="D532" s="147"/>
      <c r="E532" s="147"/>
      <c r="F532" s="147"/>
      <c r="G532" s="147"/>
      <c r="H532" s="147"/>
      <c r="I532" s="147"/>
    </row>
    <row r="533" spans="1:9" ht="15" customHeight="1">
      <c r="A533" s="147"/>
      <c r="B533" s="147"/>
      <c r="C533" s="147"/>
      <c r="D533" s="147"/>
      <c r="E533" s="147"/>
      <c r="F533" s="147"/>
      <c r="G533" s="147"/>
      <c r="H533" s="147"/>
      <c r="I533" s="147"/>
    </row>
    <row r="534" spans="1:9" ht="15" customHeight="1">
      <c r="A534" s="147"/>
      <c r="B534" s="147"/>
      <c r="C534" s="147"/>
      <c r="D534" s="147"/>
      <c r="E534" s="147"/>
      <c r="F534" s="147"/>
      <c r="G534" s="147"/>
      <c r="H534" s="147"/>
      <c r="I534" s="147"/>
    </row>
    <row r="535" spans="1:9" ht="15" customHeight="1">
      <c r="A535" s="147"/>
      <c r="B535" s="147"/>
      <c r="C535" s="147"/>
      <c r="D535" s="147"/>
      <c r="E535" s="147"/>
      <c r="F535" s="147"/>
      <c r="G535" s="147"/>
      <c r="H535" s="147"/>
      <c r="I535" s="147"/>
    </row>
    <row r="536" spans="1:9" ht="15" customHeight="1">
      <c r="A536" s="147"/>
      <c r="B536" s="147"/>
      <c r="C536" s="147"/>
      <c r="D536" s="147"/>
      <c r="E536" s="147"/>
      <c r="F536" s="147"/>
      <c r="G536" s="147"/>
      <c r="H536" s="147"/>
      <c r="I536" s="147"/>
    </row>
    <row r="537" spans="1:9" ht="15" customHeight="1">
      <c r="A537" s="147"/>
      <c r="B537" s="147"/>
      <c r="C537" s="147"/>
      <c r="D537" s="147"/>
      <c r="E537" s="147"/>
      <c r="F537" s="147"/>
      <c r="G537" s="147"/>
      <c r="H537" s="147"/>
      <c r="I537" s="147"/>
    </row>
    <row r="538" spans="1:9" ht="15" customHeight="1">
      <c r="A538" s="147"/>
      <c r="B538" s="147"/>
      <c r="C538" s="147"/>
      <c r="D538" s="147"/>
      <c r="E538" s="147"/>
      <c r="F538" s="147"/>
      <c r="G538" s="147"/>
      <c r="H538" s="147"/>
      <c r="I538" s="147"/>
    </row>
    <row r="539" spans="1:9" ht="15" customHeight="1">
      <c r="A539" s="147"/>
      <c r="B539" s="147"/>
      <c r="C539" s="147"/>
      <c r="D539" s="147"/>
      <c r="E539" s="147"/>
      <c r="F539" s="147"/>
      <c r="G539" s="147"/>
      <c r="H539" s="147"/>
      <c r="I539" s="147"/>
    </row>
    <row r="540" spans="1:9" ht="15" customHeight="1">
      <c r="A540" s="147"/>
      <c r="B540" s="147"/>
      <c r="C540" s="147"/>
      <c r="D540" s="147"/>
      <c r="E540" s="147"/>
      <c r="F540" s="147"/>
      <c r="G540" s="147"/>
      <c r="H540" s="147"/>
      <c r="I540" s="147"/>
    </row>
    <row r="541" spans="1:9" ht="15" customHeight="1">
      <c r="A541" s="147"/>
      <c r="B541" s="147"/>
      <c r="C541" s="147"/>
      <c r="D541" s="147"/>
      <c r="E541" s="147"/>
      <c r="F541" s="147"/>
      <c r="G541" s="147"/>
      <c r="H541" s="147"/>
      <c r="I541" s="147"/>
    </row>
    <row r="542" spans="1:9" ht="15" customHeight="1">
      <c r="A542" s="147"/>
      <c r="B542" s="147"/>
      <c r="C542" s="147"/>
      <c r="D542" s="147"/>
      <c r="E542" s="147"/>
      <c r="F542" s="147"/>
      <c r="G542" s="147"/>
      <c r="H542" s="147"/>
      <c r="I542" s="147"/>
    </row>
    <row r="543" spans="1:9" ht="15" customHeight="1">
      <c r="A543" s="147"/>
      <c r="B543" s="147"/>
      <c r="C543" s="147"/>
      <c r="D543" s="147"/>
      <c r="E543" s="147"/>
      <c r="F543" s="147"/>
      <c r="G543" s="147"/>
      <c r="H543" s="147"/>
      <c r="I543" s="147"/>
    </row>
    <row r="544" spans="1:9" ht="15" customHeight="1">
      <c r="A544" s="147"/>
      <c r="B544" s="147"/>
      <c r="C544" s="147"/>
      <c r="D544" s="147"/>
      <c r="E544" s="147"/>
      <c r="F544" s="147"/>
      <c r="G544" s="147"/>
      <c r="H544" s="147"/>
      <c r="I544" s="147"/>
    </row>
    <row r="545" spans="1:9" ht="15" customHeight="1">
      <c r="A545" s="147"/>
      <c r="B545" s="147"/>
      <c r="C545" s="147"/>
      <c r="D545" s="147"/>
      <c r="E545" s="147"/>
      <c r="F545" s="147"/>
      <c r="G545" s="147"/>
      <c r="H545" s="147"/>
      <c r="I545" s="147"/>
    </row>
    <row r="546" spans="1:9" ht="15" customHeight="1">
      <c r="A546" s="147"/>
      <c r="B546" s="147"/>
      <c r="C546" s="147"/>
      <c r="D546" s="147"/>
      <c r="E546" s="147"/>
      <c r="F546" s="147"/>
      <c r="G546" s="147"/>
      <c r="H546" s="147"/>
      <c r="I546" s="147"/>
    </row>
    <row r="547" spans="1:9" ht="15" customHeight="1">
      <c r="A547" s="147"/>
      <c r="B547" s="147"/>
      <c r="C547" s="147"/>
      <c r="D547" s="147"/>
      <c r="E547" s="147"/>
      <c r="F547" s="147"/>
      <c r="G547" s="147"/>
      <c r="H547" s="147"/>
      <c r="I547" s="147"/>
    </row>
    <row r="548" spans="1:9" ht="15" customHeight="1">
      <c r="A548" s="147"/>
      <c r="B548" s="147"/>
      <c r="C548" s="147"/>
      <c r="D548" s="147"/>
      <c r="E548" s="147"/>
      <c r="F548" s="147"/>
      <c r="G548" s="147"/>
      <c r="H548" s="147"/>
      <c r="I548" s="147"/>
    </row>
    <row r="549" spans="1:9" ht="15" customHeight="1">
      <c r="A549" s="147"/>
      <c r="B549" s="147"/>
      <c r="C549" s="147"/>
      <c r="D549" s="147"/>
      <c r="E549" s="147"/>
      <c r="F549" s="147"/>
      <c r="G549" s="147"/>
      <c r="H549" s="147"/>
      <c r="I549" s="147"/>
    </row>
    <row r="550" spans="1:9" ht="15" customHeight="1">
      <c r="A550" s="147"/>
      <c r="B550" s="147"/>
      <c r="C550" s="147"/>
      <c r="D550" s="147"/>
      <c r="E550" s="147"/>
      <c r="F550" s="147"/>
      <c r="G550" s="147"/>
      <c r="H550" s="147"/>
      <c r="I550" s="147"/>
    </row>
    <row r="551" spans="1:9" ht="15" customHeight="1">
      <c r="A551" s="147"/>
      <c r="B551" s="147"/>
      <c r="C551" s="147"/>
      <c r="D551" s="147"/>
      <c r="E551" s="147"/>
      <c r="F551" s="147"/>
      <c r="G551" s="147"/>
      <c r="H551" s="147"/>
      <c r="I551" s="147"/>
    </row>
    <row r="552" spans="1:9" ht="15" customHeight="1">
      <c r="A552" s="147"/>
      <c r="B552" s="147"/>
      <c r="C552" s="147"/>
      <c r="D552" s="147"/>
      <c r="E552" s="147"/>
      <c r="F552" s="147"/>
      <c r="G552" s="147"/>
      <c r="H552" s="147"/>
      <c r="I552" s="147"/>
    </row>
    <row r="553" spans="1:9" ht="15" customHeight="1">
      <c r="A553" s="147"/>
      <c r="B553" s="147"/>
      <c r="C553" s="147"/>
      <c r="D553" s="147"/>
      <c r="E553" s="147"/>
      <c r="F553" s="147"/>
      <c r="G553" s="147"/>
      <c r="H553" s="147"/>
      <c r="I553" s="147"/>
    </row>
    <row r="554" spans="1:9" ht="15" customHeight="1">
      <c r="A554" s="147"/>
      <c r="B554" s="147"/>
      <c r="C554" s="147"/>
      <c r="D554" s="147"/>
      <c r="E554" s="147"/>
      <c r="F554" s="147"/>
      <c r="G554" s="147"/>
      <c r="H554" s="147"/>
      <c r="I554" s="147"/>
    </row>
    <row r="555" spans="1:9" ht="15" customHeight="1">
      <c r="A555" s="147"/>
      <c r="B555" s="147"/>
      <c r="C555" s="147"/>
      <c r="D555" s="147"/>
      <c r="E555" s="147"/>
      <c r="F555" s="147"/>
      <c r="G555" s="147"/>
      <c r="H555" s="147"/>
      <c r="I555" s="147"/>
    </row>
    <row r="556" spans="1:9" ht="15" customHeight="1">
      <c r="A556" s="147"/>
      <c r="B556" s="147"/>
      <c r="C556" s="147"/>
      <c r="D556" s="147"/>
      <c r="E556" s="147"/>
      <c r="F556" s="147"/>
      <c r="G556" s="147"/>
      <c r="H556" s="147"/>
      <c r="I556" s="147"/>
    </row>
    <row r="557" spans="1:9" ht="15" customHeight="1">
      <c r="A557" s="147"/>
      <c r="B557" s="147"/>
      <c r="C557" s="147"/>
      <c r="D557" s="147"/>
      <c r="E557" s="147"/>
      <c r="F557" s="147"/>
      <c r="G557" s="147"/>
      <c r="H557" s="147"/>
      <c r="I557" s="147"/>
    </row>
    <row r="558" spans="1:9" ht="15" customHeight="1">
      <c r="A558" s="147"/>
      <c r="B558" s="147"/>
      <c r="C558" s="147"/>
      <c r="D558" s="147"/>
      <c r="E558" s="147"/>
      <c r="F558" s="147"/>
      <c r="G558" s="147"/>
      <c r="H558" s="147"/>
      <c r="I558" s="147"/>
    </row>
    <row r="559" spans="1:9" ht="15" customHeight="1">
      <c r="A559" s="147"/>
      <c r="B559" s="147"/>
      <c r="C559" s="147"/>
      <c r="D559" s="147"/>
      <c r="E559" s="147"/>
      <c r="F559" s="147"/>
      <c r="G559" s="147"/>
      <c r="H559" s="147"/>
      <c r="I559" s="147"/>
    </row>
    <row r="560" spans="1:9" ht="15" customHeight="1">
      <c r="A560" s="147"/>
      <c r="B560" s="147"/>
      <c r="C560" s="147"/>
      <c r="D560" s="147"/>
      <c r="E560" s="147"/>
      <c r="F560" s="147"/>
      <c r="G560" s="147"/>
      <c r="H560" s="147"/>
      <c r="I560" s="147"/>
    </row>
    <row r="561" spans="1:9" ht="15" customHeight="1">
      <c r="A561" s="147"/>
      <c r="B561" s="147"/>
      <c r="C561" s="147"/>
      <c r="D561" s="147"/>
      <c r="E561" s="147"/>
      <c r="F561" s="147"/>
      <c r="G561" s="147"/>
      <c r="H561" s="147"/>
      <c r="I561" s="147"/>
    </row>
    <row r="562" spans="1:9" ht="15" customHeight="1">
      <c r="A562" s="147"/>
      <c r="B562" s="147"/>
      <c r="C562" s="147"/>
      <c r="D562" s="147"/>
      <c r="E562" s="147"/>
      <c r="F562" s="147"/>
      <c r="G562" s="147"/>
      <c r="H562" s="147"/>
      <c r="I562" s="147"/>
    </row>
    <row r="563" spans="1:9" ht="15" customHeight="1">
      <c r="A563" s="147"/>
      <c r="B563" s="147"/>
      <c r="C563" s="147"/>
      <c r="D563" s="147"/>
      <c r="E563" s="147"/>
      <c r="F563" s="147"/>
      <c r="G563" s="147"/>
      <c r="H563" s="147"/>
      <c r="I563" s="147"/>
    </row>
    <row r="564" spans="1:9" ht="15" customHeight="1">
      <c r="A564" s="147"/>
      <c r="B564" s="147"/>
      <c r="C564" s="147"/>
      <c r="D564" s="147"/>
      <c r="E564" s="147"/>
      <c r="F564" s="147"/>
      <c r="G564" s="147"/>
      <c r="H564" s="147"/>
      <c r="I564" s="147"/>
    </row>
    <row r="565" spans="1:9" ht="15" customHeight="1">
      <c r="A565" s="147"/>
      <c r="B565" s="147"/>
      <c r="C565" s="147"/>
      <c r="D565" s="147"/>
      <c r="E565" s="147"/>
      <c r="F565" s="147"/>
      <c r="G565" s="147"/>
      <c r="H565" s="147"/>
      <c r="I565" s="147"/>
    </row>
    <row r="566" spans="1:9" ht="15" customHeight="1">
      <c r="A566" s="147"/>
      <c r="B566" s="147"/>
      <c r="C566" s="147"/>
      <c r="D566" s="147"/>
      <c r="E566" s="147"/>
      <c r="F566" s="147"/>
      <c r="G566" s="147"/>
      <c r="H566" s="147"/>
      <c r="I566" s="147"/>
    </row>
    <row r="567" spans="1:9" ht="15" customHeight="1">
      <c r="A567" s="147"/>
      <c r="B567" s="147"/>
      <c r="C567" s="147"/>
      <c r="D567" s="147"/>
      <c r="E567" s="147"/>
      <c r="F567" s="147"/>
      <c r="G567" s="147"/>
      <c r="H567" s="147"/>
      <c r="I567" s="147"/>
    </row>
    <row r="568" spans="1:9" ht="15" customHeight="1">
      <c r="A568" s="147"/>
      <c r="B568" s="147"/>
      <c r="C568" s="147"/>
      <c r="D568" s="147"/>
      <c r="E568" s="147"/>
      <c r="F568" s="147"/>
      <c r="G568" s="147"/>
      <c r="H568" s="147"/>
      <c r="I568" s="147"/>
    </row>
    <row r="569" spans="1:9" ht="15" customHeight="1">
      <c r="A569" s="147"/>
      <c r="B569" s="147"/>
      <c r="C569" s="147"/>
      <c r="D569" s="147"/>
      <c r="E569" s="147"/>
      <c r="F569" s="147"/>
      <c r="G569" s="147"/>
      <c r="H569" s="147"/>
      <c r="I569" s="147"/>
    </row>
    <row r="570" spans="1:9" ht="15" customHeight="1">
      <c r="A570" s="147"/>
      <c r="B570" s="147"/>
      <c r="C570" s="147"/>
      <c r="D570" s="147"/>
      <c r="E570" s="147"/>
      <c r="F570" s="147"/>
      <c r="G570" s="147"/>
      <c r="H570" s="147"/>
      <c r="I570" s="147"/>
    </row>
    <row r="571" spans="1:9" ht="15" customHeight="1">
      <c r="A571" s="147"/>
      <c r="B571" s="147"/>
      <c r="C571" s="147"/>
      <c r="D571" s="147"/>
      <c r="E571" s="147"/>
      <c r="F571" s="147"/>
      <c r="G571" s="147"/>
      <c r="H571" s="147"/>
      <c r="I571" s="147"/>
    </row>
    <row r="572" spans="1:9" ht="15" customHeight="1">
      <c r="A572" s="147"/>
      <c r="B572" s="147"/>
      <c r="C572" s="147"/>
      <c r="D572" s="147"/>
      <c r="E572" s="147"/>
      <c r="F572" s="147"/>
      <c r="G572" s="147"/>
      <c r="H572" s="147"/>
      <c r="I572" s="147"/>
    </row>
    <row r="573" spans="1:9" ht="15" customHeight="1">
      <c r="A573" s="147"/>
      <c r="B573" s="147"/>
      <c r="C573" s="147"/>
      <c r="D573" s="147"/>
      <c r="E573" s="147"/>
      <c r="F573" s="147"/>
      <c r="G573" s="147"/>
      <c r="H573" s="147"/>
      <c r="I573" s="147"/>
    </row>
    <row r="574" spans="1:9" ht="15" customHeight="1">
      <c r="A574" s="147"/>
      <c r="B574" s="147"/>
      <c r="C574" s="147"/>
      <c r="D574" s="147"/>
      <c r="E574" s="147"/>
      <c r="F574" s="147"/>
      <c r="G574" s="147"/>
      <c r="H574" s="147"/>
      <c r="I574" s="147"/>
    </row>
    <row r="575" spans="1:9" ht="15" customHeight="1">
      <c r="A575" s="147"/>
      <c r="B575" s="147"/>
      <c r="C575" s="147"/>
      <c r="D575" s="147"/>
      <c r="E575" s="147"/>
      <c r="F575" s="147"/>
      <c r="G575" s="147"/>
      <c r="H575" s="147"/>
      <c r="I575" s="147"/>
    </row>
    <row r="576" spans="1:9" ht="15" customHeight="1">
      <c r="A576" s="147"/>
      <c r="B576" s="147"/>
      <c r="C576" s="147"/>
      <c r="D576" s="147"/>
      <c r="E576" s="147"/>
      <c r="F576" s="147"/>
      <c r="G576" s="147"/>
      <c r="H576" s="147"/>
      <c r="I576" s="147"/>
    </row>
    <row r="577" spans="1:9" ht="15" customHeight="1">
      <c r="A577" s="147"/>
      <c r="B577" s="147"/>
      <c r="C577" s="147"/>
      <c r="D577" s="147"/>
      <c r="E577" s="147"/>
      <c r="F577" s="147"/>
      <c r="G577" s="147"/>
      <c r="H577" s="147"/>
      <c r="I577" s="147"/>
    </row>
    <row r="578" spans="1:9" ht="15" customHeight="1">
      <c r="A578" s="147"/>
      <c r="B578" s="147"/>
      <c r="C578" s="147"/>
      <c r="D578" s="147"/>
      <c r="E578" s="147"/>
      <c r="F578" s="147"/>
      <c r="G578" s="147"/>
      <c r="H578" s="147"/>
      <c r="I578" s="147"/>
    </row>
    <row r="579" spans="1:9" ht="15" customHeight="1">
      <c r="A579" s="147"/>
      <c r="B579" s="147"/>
      <c r="C579" s="147"/>
      <c r="D579" s="147"/>
      <c r="E579" s="147"/>
      <c r="F579" s="147"/>
      <c r="G579" s="147"/>
      <c r="H579" s="147"/>
      <c r="I579" s="147"/>
    </row>
    <row r="580" spans="1:9" ht="15" customHeight="1">
      <c r="A580" s="147"/>
      <c r="B580" s="147"/>
      <c r="C580" s="147"/>
      <c r="D580" s="147"/>
      <c r="E580" s="147"/>
      <c r="F580" s="147"/>
      <c r="G580" s="147"/>
      <c r="H580" s="147"/>
      <c r="I580" s="147"/>
    </row>
    <row r="581" spans="1:9" ht="15" customHeight="1">
      <c r="A581" s="147"/>
      <c r="B581" s="147"/>
      <c r="C581" s="147"/>
      <c r="D581" s="147"/>
      <c r="E581" s="147"/>
      <c r="F581" s="147"/>
      <c r="G581" s="147"/>
      <c r="H581" s="147"/>
      <c r="I581" s="147"/>
    </row>
    <row r="582" spans="1:9" ht="15" customHeight="1">
      <c r="A582" s="147"/>
      <c r="B582" s="147"/>
      <c r="C582" s="147"/>
      <c r="D582" s="147"/>
      <c r="E582" s="147"/>
      <c r="F582" s="147"/>
      <c r="G582" s="147"/>
      <c r="H582" s="147"/>
      <c r="I582" s="147"/>
    </row>
    <row r="583" spans="1:9" ht="15" customHeight="1">
      <c r="A583" s="147"/>
      <c r="B583" s="147"/>
      <c r="C583" s="147"/>
      <c r="D583" s="147"/>
      <c r="E583" s="147"/>
      <c r="F583" s="147"/>
      <c r="G583" s="147"/>
      <c r="H583" s="147"/>
      <c r="I583" s="147"/>
    </row>
    <row r="584" spans="1:9" ht="15" customHeight="1">
      <c r="A584" s="147"/>
      <c r="B584" s="147"/>
      <c r="C584" s="147"/>
      <c r="D584" s="147"/>
      <c r="E584" s="147"/>
      <c r="F584" s="147"/>
      <c r="G584" s="147"/>
      <c r="H584" s="147"/>
      <c r="I584" s="147"/>
    </row>
    <row r="585" spans="1:9" ht="15" customHeight="1">
      <c r="A585" s="147"/>
      <c r="B585" s="147"/>
      <c r="C585" s="147"/>
      <c r="D585" s="147"/>
      <c r="E585" s="147"/>
      <c r="F585" s="147"/>
      <c r="G585" s="147"/>
      <c r="H585" s="147"/>
      <c r="I585" s="147"/>
    </row>
    <row r="586" spans="1:9" ht="15" customHeight="1">
      <c r="A586" s="147"/>
      <c r="B586" s="147"/>
      <c r="C586" s="147"/>
      <c r="D586" s="147"/>
      <c r="E586" s="147"/>
      <c r="F586" s="147"/>
      <c r="G586" s="147"/>
      <c r="H586" s="147"/>
      <c r="I586" s="147"/>
    </row>
    <row r="587" spans="1:9" ht="15" customHeight="1">
      <c r="A587" s="147"/>
      <c r="B587" s="147"/>
      <c r="C587" s="147"/>
      <c r="D587" s="147"/>
      <c r="E587" s="147"/>
      <c r="F587" s="147"/>
      <c r="G587" s="147"/>
      <c r="H587" s="147"/>
      <c r="I587" s="147"/>
    </row>
    <row r="588" spans="1:9" ht="15" customHeight="1">
      <c r="A588" s="147"/>
      <c r="B588" s="147"/>
      <c r="C588" s="147"/>
      <c r="D588" s="147"/>
      <c r="E588" s="147"/>
      <c r="F588" s="147"/>
      <c r="G588" s="147"/>
      <c r="H588" s="147"/>
      <c r="I588" s="147"/>
    </row>
    <row r="589" spans="1:9" ht="15" customHeight="1">
      <c r="A589" s="147"/>
      <c r="B589" s="147"/>
      <c r="C589" s="147"/>
      <c r="D589" s="147"/>
      <c r="E589" s="147"/>
      <c r="F589" s="147"/>
      <c r="G589" s="147"/>
      <c r="H589" s="147"/>
      <c r="I589" s="147"/>
    </row>
    <row r="590" spans="1:9" ht="15" customHeight="1">
      <c r="A590" s="147"/>
      <c r="B590" s="147"/>
      <c r="C590" s="147"/>
      <c r="D590" s="147"/>
      <c r="E590" s="147"/>
      <c r="F590" s="147"/>
      <c r="G590" s="147"/>
      <c r="H590" s="147"/>
      <c r="I590" s="147"/>
    </row>
    <row r="591" spans="1:9" ht="15" customHeight="1">
      <c r="A591" s="147"/>
      <c r="B591" s="147"/>
      <c r="C591" s="147"/>
      <c r="D591" s="147"/>
      <c r="E591" s="147"/>
      <c r="F591" s="147"/>
      <c r="G591" s="147"/>
      <c r="H591" s="147"/>
      <c r="I591" s="147"/>
    </row>
    <row r="592" spans="1:9" ht="15" customHeight="1">
      <c r="A592" s="147"/>
      <c r="B592" s="147"/>
      <c r="C592" s="147"/>
      <c r="D592" s="147"/>
      <c r="E592" s="147"/>
      <c r="F592" s="147"/>
      <c r="G592" s="147"/>
      <c r="H592" s="147"/>
      <c r="I592" s="147"/>
    </row>
    <row r="593" spans="1:9" ht="15" customHeight="1">
      <c r="A593" s="147"/>
      <c r="B593" s="147"/>
      <c r="C593" s="147"/>
      <c r="D593" s="147"/>
      <c r="E593" s="147"/>
      <c r="F593" s="147"/>
      <c r="G593" s="147"/>
      <c r="H593" s="147"/>
      <c r="I593" s="147"/>
    </row>
    <row r="594" spans="1:9" ht="15" customHeight="1">
      <c r="A594" s="147"/>
      <c r="B594" s="147"/>
      <c r="C594" s="147"/>
      <c r="D594" s="147"/>
      <c r="E594" s="147"/>
      <c r="F594" s="147"/>
      <c r="G594" s="147"/>
      <c r="H594" s="147"/>
      <c r="I594" s="147"/>
    </row>
    <row r="595" spans="1:9" ht="15" customHeight="1">
      <c r="A595" s="147"/>
      <c r="B595" s="147"/>
      <c r="C595" s="147"/>
      <c r="D595" s="147"/>
      <c r="E595" s="147"/>
      <c r="F595" s="147"/>
      <c r="G595" s="147"/>
      <c r="H595" s="147"/>
      <c r="I595" s="147"/>
    </row>
    <row r="596" spans="1:9" ht="15" customHeight="1">
      <c r="A596" s="147"/>
      <c r="B596" s="147"/>
      <c r="C596" s="147"/>
      <c r="D596" s="147"/>
      <c r="E596" s="147"/>
      <c r="F596" s="147"/>
      <c r="G596" s="147"/>
      <c r="H596" s="147"/>
      <c r="I596" s="147"/>
    </row>
    <row r="597" spans="1:9" ht="15" customHeight="1">
      <c r="A597" s="147"/>
      <c r="B597" s="147"/>
      <c r="C597" s="147"/>
      <c r="D597" s="147"/>
      <c r="E597" s="147"/>
      <c r="F597" s="147"/>
      <c r="G597" s="147"/>
      <c r="H597" s="147"/>
      <c r="I597" s="147"/>
    </row>
  </sheetData>
  <mergeCells count="9">
    <mergeCell ref="A51:I51"/>
    <mergeCell ref="A52:I52"/>
    <mergeCell ref="A53:I53"/>
    <mergeCell ref="A8:A9"/>
    <mergeCell ref="B8:F8"/>
    <mergeCell ref="G8:I8"/>
    <mergeCell ref="B17:I17"/>
    <mergeCell ref="B19:I19"/>
    <mergeCell ref="A50:I50"/>
  </mergeCells>
  <pageMargins left="0.59055118110236227" right="0.59055118110236227" top="0.78740157480314965" bottom="0.7874015748031496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4F2F-97B8-4A26-96A2-F7E3D8DF9205}">
  <sheetPr>
    <pageSetUpPr fitToPage="1"/>
  </sheetPr>
  <dimension ref="A1:M52"/>
  <sheetViews>
    <sheetView zoomScaleNormal="100" zoomScaleSheetLayoutView="100" workbookViewId="0">
      <selection activeCell="A4" sqref="A4"/>
    </sheetView>
  </sheetViews>
  <sheetFormatPr defaultRowHeight="14.5"/>
  <cols>
    <col min="1" max="1" width="32.1796875" style="298" customWidth="1"/>
    <col min="2" max="2" width="9.1796875" style="299" customWidth="1"/>
    <col min="3" max="3" width="7.26953125" style="299" customWidth="1"/>
    <col min="4" max="4" width="8.453125" style="299" customWidth="1"/>
    <col min="5" max="5" width="0.81640625" style="299" customWidth="1"/>
    <col min="6" max="6" width="9.1796875" style="299" customWidth="1"/>
    <col min="7" max="7" width="7" style="299" customWidth="1"/>
    <col min="8" max="8" width="9.26953125" style="299" customWidth="1"/>
    <col min="9" max="9" width="0.81640625" style="299" customWidth="1"/>
    <col min="10" max="10" width="9.1796875" style="299" customWidth="1"/>
    <col min="11" max="11" width="7.1796875" style="299" customWidth="1"/>
    <col min="12" max="12" width="8.453125" style="300" customWidth="1"/>
  </cols>
  <sheetData>
    <row r="1" spans="1:12" ht="12.75" customHeight="1"/>
    <row r="2" spans="1:12" ht="12.75" customHeight="1"/>
    <row r="3" spans="1:12" ht="12.75" customHeight="1">
      <c r="A3" s="301"/>
    </row>
    <row r="4" spans="1:12" ht="22.5" customHeight="1">
      <c r="A4" s="302" t="s">
        <v>6</v>
      </c>
      <c r="C4" s="303"/>
      <c r="D4" s="303"/>
      <c r="E4" s="303"/>
      <c r="F4" s="303"/>
      <c r="G4" s="303"/>
      <c r="H4" s="303"/>
      <c r="I4" s="303"/>
      <c r="J4" s="303"/>
      <c r="K4" s="303"/>
      <c r="L4" s="304"/>
    </row>
    <row r="5" spans="1:12" ht="12" customHeight="1">
      <c r="A5" s="302" t="s">
        <v>7</v>
      </c>
      <c r="B5" s="302"/>
      <c r="C5" s="303"/>
      <c r="D5" s="303"/>
      <c r="E5" s="303"/>
      <c r="F5" s="303"/>
      <c r="G5" s="303"/>
      <c r="H5" s="303"/>
      <c r="I5" s="303"/>
      <c r="J5" s="303"/>
      <c r="K5" s="303"/>
      <c r="L5" s="304"/>
    </row>
    <row r="6" spans="1:12" ht="12" customHeight="1">
      <c r="A6" s="481" t="s">
        <v>11</v>
      </c>
      <c r="B6" s="303"/>
      <c r="C6" s="303"/>
      <c r="D6" s="303"/>
      <c r="E6" s="303"/>
      <c r="F6" s="303"/>
      <c r="G6" s="303"/>
      <c r="H6" s="303"/>
      <c r="I6" s="303"/>
      <c r="J6" s="303"/>
      <c r="K6" s="303"/>
      <c r="L6" s="304"/>
    </row>
    <row r="7" spans="1:12" ht="6" customHeight="1">
      <c r="A7" s="285"/>
      <c r="B7" s="173"/>
      <c r="C7" s="173"/>
      <c r="D7" s="173"/>
      <c r="E7" s="173"/>
      <c r="F7" s="173"/>
      <c r="G7" s="173"/>
      <c r="H7" s="173"/>
      <c r="I7" s="173"/>
      <c r="J7" s="173"/>
      <c r="K7" s="173"/>
      <c r="L7" s="166"/>
    </row>
    <row r="8" spans="1:12" ht="15" customHeight="1">
      <c r="A8" s="616" t="s">
        <v>100</v>
      </c>
      <c r="B8" s="618" t="s">
        <v>101</v>
      </c>
      <c r="C8" s="618"/>
      <c r="D8" s="618"/>
      <c r="E8" s="562"/>
      <c r="F8" s="618" t="s">
        <v>102</v>
      </c>
      <c r="G8" s="618"/>
      <c r="H8" s="618"/>
      <c r="I8" s="562"/>
      <c r="J8" s="619" t="s">
        <v>103</v>
      </c>
      <c r="K8" s="619"/>
      <c r="L8" s="619"/>
    </row>
    <row r="9" spans="1:12" ht="18">
      <c r="A9" s="617"/>
      <c r="B9" s="563" t="s">
        <v>104</v>
      </c>
      <c r="C9" s="563" t="s">
        <v>105</v>
      </c>
      <c r="D9" s="563" t="s">
        <v>106</v>
      </c>
      <c r="E9" s="563"/>
      <c r="F9" s="563" t="s">
        <v>104</v>
      </c>
      <c r="G9" s="563" t="s">
        <v>105</v>
      </c>
      <c r="H9" s="563" t="s">
        <v>106</v>
      </c>
      <c r="I9" s="563"/>
      <c r="J9" s="563" t="s">
        <v>104</v>
      </c>
      <c r="K9" s="563" t="s">
        <v>105</v>
      </c>
      <c r="L9" s="563" t="s">
        <v>106</v>
      </c>
    </row>
    <row r="10" spans="1:12" ht="3" customHeight="1">
      <c r="A10" s="305"/>
      <c r="B10" s="306"/>
      <c r="C10" s="306"/>
      <c r="D10" s="306"/>
      <c r="E10" s="306"/>
      <c r="F10" s="306"/>
      <c r="G10" s="306"/>
      <c r="H10" s="306"/>
      <c r="I10" s="306"/>
      <c r="J10" s="306"/>
      <c r="K10" s="306"/>
      <c r="L10" s="168"/>
    </row>
    <row r="11" spans="1:12" ht="15" customHeight="1">
      <c r="A11" s="305"/>
      <c r="B11" s="620" t="s">
        <v>107</v>
      </c>
      <c r="C11" s="615"/>
      <c r="D11" s="615"/>
      <c r="E11" s="615"/>
      <c r="F11" s="615"/>
      <c r="G11" s="615"/>
      <c r="H11" s="615"/>
      <c r="I11" s="615"/>
      <c r="J11" s="615"/>
      <c r="K11" s="615"/>
      <c r="L11" s="615"/>
    </row>
    <row r="12" spans="1:12" ht="9.75" customHeight="1">
      <c r="A12" s="168"/>
      <c r="B12" s="615" t="s">
        <v>108</v>
      </c>
      <c r="C12" s="615"/>
      <c r="D12" s="615"/>
      <c r="E12" s="615"/>
      <c r="F12" s="615"/>
      <c r="G12" s="615"/>
      <c r="H12" s="615"/>
      <c r="I12" s="615"/>
      <c r="J12" s="615"/>
      <c r="K12" s="615"/>
      <c r="L12" s="615"/>
    </row>
    <row r="13" spans="1:12" ht="3" customHeight="1">
      <c r="A13" s="305"/>
      <c r="B13" s="306"/>
      <c r="C13" s="306"/>
      <c r="D13" s="306"/>
      <c r="E13" s="307"/>
      <c r="F13" s="306"/>
      <c r="G13" s="306"/>
      <c r="H13" s="306"/>
      <c r="I13" s="307"/>
      <c r="J13" s="306"/>
      <c r="K13" s="306"/>
      <c r="L13" s="168"/>
    </row>
    <row r="14" spans="1:12" ht="9.75" customHeight="1">
      <c r="A14" s="280" t="s">
        <v>109</v>
      </c>
      <c r="B14" s="308">
        <v>162174</v>
      </c>
      <c r="C14" s="194">
        <f>B14/$B$20*100</f>
        <v>60.08424999351638</v>
      </c>
      <c r="D14" s="309">
        <f>(B14-153350)/153350*100</f>
        <v>5.7541571568307788</v>
      </c>
      <c r="E14" s="195"/>
      <c r="F14" s="308">
        <v>136500</v>
      </c>
      <c r="G14" s="194">
        <f>F14/$F$20*100</f>
        <v>53.923795603136668</v>
      </c>
      <c r="H14" s="309">
        <f>(F14-185016)/185016*100</f>
        <v>-26.222596964586849</v>
      </c>
      <c r="I14" s="195"/>
      <c r="J14" s="308">
        <v>311605</v>
      </c>
      <c r="K14" s="194">
        <f>J14/$J$20*100</f>
        <v>44.879679452465176</v>
      </c>
      <c r="L14" s="309">
        <f>(J14-263241)/263241*100</f>
        <v>18.372517958828603</v>
      </c>
    </row>
    <row r="15" spans="1:12" ht="9.75" customHeight="1">
      <c r="A15" s="305" t="s">
        <v>110</v>
      </c>
      <c r="B15" s="308">
        <v>100198</v>
      </c>
      <c r="C15" s="194">
        <f t="shared" ref="C15:C19" si="0">B15/$B$20*100</f>
        <v>37.122607081593564</v>
      </c>
      <c r="D15" s="309">
        <f>(B15-119624)/119624*100</f>
        <v>-16.23921621079382</v>
      </c>
      <c r="E15" s="195"/>
      <c r="F15" s="308">
        <v>111050</v>
      </c>
      <c r="G15" s="194">
        <f t="shared" ref="G15:G19" si="1">F15/$F$20*100</f>
        <v>43.869871807533528</v>
      </c>
      <c r="H15" s="309">
        <f>(F15-130730)/130730*100</f>
        <v>-15.05392794308881</v>
      </c>
      <c r="I15" s="195"/>
      <c r="J15" s="308">
        <v>371651</v>
      </c>
      <c r="K15" s="194">
        <f t="shared" ref="K15:K17" si="2">J15/$J$20*100</f>
        <v>53.527952851167768</v>
      </c>
      <c r="L15" s="309">
        <f>(J15-365076)/365076*100</f>
        <v>1.8009948613439395</v>
      </c>
    </row>
    <row r="16" spans="1:12" ht="9.75" customHeight="1">
      <c r="A16" s="280" t="s">
        <v>111</v>
      </c>
      <c r="B16" s="308">
        <v>1652</v>
      </c>
      <c r="C16" s="194">
        <f t="shared" si="0"/>
        <v>0.61205360285427424</v>
      </c>
      <c r="D16" s="309">
        <f>(B16-1225)/1225*100</f>
        <v>34.857142857142861</v>
      </c>
      <c r="E16" s="195"/>
      <c r="F16" s="308">
        <v>887</v>
      </c>
      <c r="G16" s="194">
        <f t="shared" si="1"/>
        <v>0.35040590988997966</v>
      </c>
      <c r="H16" s="309">
        <f>(F16-867)/867*100</f>
        <v>2.306805074971165</v>
      </c>
      <c r="I16" s="195"/>
      <c r="J16" s="308">
        <v>2870</v>
      </c>
      <c r="K16" s="194">
        <f t="shared" si="2"/>
        <v>0.4133588357971632</v>
      </c>
      <c r="L16" s="309">
        <f>(J16-1964)/1964*100</f>
        <v>46.130346232179228</v>
      </c>
    </row>
    <row r="17" spans="1:12" ht="9.75" customHeight="1">
      <c r="A17" s="280" t="s">
        <v>112</v>
      </c>
      <c r="B17" s="308">
        <v>85</v>
      </c>
      <c r="C17" s="194">
        <f t="shared" si="0"/>
        <v>3.1491862132332508E-2</v>
      </c>
      <c r="D17" s="309">
        <f>(B17-84)/84*100</f>
        <v>1.1904761904761905</v>
      </c>
      <c r="E17" s="195"/>
      <c r="F17" s="308">
        <v>62</v>
      </c>
      <c r="G17" s="194">
        <f t="shared" si="1"/>
        <v>2.4492859541351455E-2</v>
      </c>
      <c r="H17" s="309">
        <f>(F17-74)/74*100</f>
        <v>-16.216216216216218</v>
      </c>
      <c r="I17" s="195"/>
      <c r="J17" s="308">
        <v>182</v>
      </c>
      <c r="K17" s="194">
        <f t="shared" si="2"/>
        <v>2.621299934323474E-2</v>
      </c>
      <c r="L17" s="309">
        <f>(J17-146)/146*100</f>
        <v>24.657534246575342</v>
      </c>
    </row>
    <row r="18" spans="1:12" ht="9.75" customHeight="1">
      <c r="A18" s="310" t="s">
        <v>113</v>
      </c>
      <c r="B18" s="311" t="s">
        <v>114</v>
      </c>
      <c r="C18" s="312" t="s">
        <v>114</v>
      </c>
      <c r="D18" s="309" t="s">
        <v>114</v>
      </c>
      <c r="E18" s="313"/>
      <c r="F18" s="311" t="s">
        <v>114</v>
      </c>
      <c r="G18" s="312" t="s">
        <v>114</v>
      </c>
      <c r="H18" s="309" t="s">
        <v>114</v>
      </c>
      <c r="I18" s="313"/>
      <c r="J18" s="311" t="s">
        <v>114</v>
      </c>
      <c r="K18" s="312" t="s">
        <v>114</v>
      </c>
      <c r="L18" s="309" t="s">
        <v>114</v>
      </c>
    </row>
    <row r="19" spans="1:12" ht="9.75" customHeight="1">
      <c r="A19" s="305" t="s">
        <v>115</v>
      </c>
      <c r="B19" s="196">
        <v>5802</v>
      </c>
      <c r="C19" s="194">
        <f t="shared" si="0"/>
        <v>2.1495974599034495</v>
      </c>
      <c r="D19" s="309">
        <f>(B19-6056)/6056*100</f>
        <v>-4.1941875825627477</v>
      </c>
      <c r="E19" s="196"/>
      <c r="F19" s="195">
        <v>4636</v>
      </c>
      <c r="G19" s="194">
        <f t="shared" si="1"/>
        <v>1.8314338198984732</v>
      </c>
      <c r="H19" s="309">
        <f>(F19-4778)/4778*100</f>
        <v>-2.9719547928003349</v>
      </c>
      <c r="I19" s="195"/>
      <c r="J19" s="195">
        <v>8004</v>
      </c>
      <c r="K19" s="194">
        <f>J19/$J$20*100</f>
        <v>1.1527958612266531</v>
      </c>
      <c r="L19" s="309">
        <f>(J19-5985)/5985*100</f>
        <v>33.734335839598998</v>
      </c>
    </row>
    <row r="20" spans="1:12" ht="9.75" customHeight="1">
      <c r="A20" s="314" t="s">
        <v>58</v>
      </c>
      <c r="B20" s="315">
        <f>B14+B15+B16+B17+B19</f>
        <v>269911</v>
      </c>
      <c r="C20" s="197">
        <v>100</v>
      </c>
      <c r="D20" s="316">
        <f>(B20-280339)/280339*100</f>
        <v>-3.7197821209321571</v>
      </c>
      <c r="E20" s="315"/>
      <c r="F20" s="315">
        <f>F14+F15+F16+F17+F19</f>
        <v>253135</v>
      </c>
      <c r="G20" s="194">
        <v>100</v>
      </c>
      <c r="H20" s="316">
        <f>(F20-321465)/321465*100</f>
        <v>-21.255813230056152</v>
      </c>
      <c r="I20" s="315"/>
      <c r="J20" s="315">
        <f>J14+J15+J16+J17+J19</f>
        <v>694312</v>
      </c>
      <c r="K20" s="197">
        <v>100</v>
      </c>
      <c r="L20" s="316">
        <f>(J20-636412)/636412*100</f>
        <v>9.0978799896922116</v>
      </c>
    </row>
    <row r="21" spans="1:12" ht="3" customHeight="1">
      <c r="A21" s="305"/>
      <c r="B21"/>
      <c r="C21"/>
      <c r="D21"/>
      <c r="E21"/>
      <c r="F21"/>
      <c r="G21"/>
      <c r="H21"/>
      <c r="I21"/>
      <c r="J21"/>
      <c r="K21"/>
      <c r="L21" s="168"/>
    </row>
    <row r="22" spans="1:12" ht="12" customHeight="1">
      <c r="A22" s="168"/>
      <c r="B22" s="615" t="s">
        <v>116</v>
      </c>
      <c r="C22" s="615"/>
      <c r="D22" s="615"/>
      <c r="E22" s="615"/>
      <c r="F22" s="615"/>
      <c r="G22" s="615"/>
      <c r="H22" s="615"/>
      <c r="I22" s="615"/>
      <c r="J22" s="615"/>
      <c r="K22" s="615"/>
      <c r="L22" s="615"/>
    </row>
    <row r="23" spans="1:12" ht="3" customHeight="1">
      <c r="A23" s="305"/>
      <c r="B23" s="173"/>
      <c r="C23" s="173"/>
      <c r="D23" s="173"/>
      <c r="E23" s="173"/>
      <c r="F23" s="173"/>
      <c r="G23" s="173"/>
      <c r="H23" s="173"/>
      <c r="I23" s="173"/>
      <c r="J23" s="173"/>
      <c r="K23" s="173"/>
      <c r="L23" s="168"/>
    </row>
    <row r="24" spans="1:12" ht="9.75" customHeight="1">
      <c r="A24" s="161" t="s">
        <v>117</v>
      </c>
      <c r="B24" s="308">
        <v>530901</v>
      </c>
      <c r="C24" s="194">
        <f>B24/$B$28*100</f>
        <v>77.165170071191241</v>
      </c>
      <c r="D24" s="189">
        <f>(B24-403304)/403304*100</f>
        <v>31.637920774403426</v>
      </c>
      <c r="E24" s="308"/>
      <c r="F24" s="308">
        <v>504312</v>
      </c>
      <c r="G24" s="194">
        <f>F24/$F$28*100</f>
        <v>81.716011614642753</v>
      </c>
      <c r="H24" s="189">
        <f>(F24-381892)/381892*100</f>
        <v>32.056183423585729</v>
      </c>
      <c r="I24" s="308"/>
      <c r="J24" s="308">
        <v>91728</v>
      </c>
      <c r="K24" s="194">
        <f>J24/$J$28*100</f>
        <v>32.101349104971213</v>
      </c>
      <c r="L24" s="189">
        <f>(J24-28810)/28810*100</f>
        <v>218.38944810829574</v>
      </c>
    </row>
    <row r="25" spans="1:12" ht="9.75" customHeight="1">
      <c r="A25" s="168" t="s">
        <v>118</v>
      </c>
      <c r="B25" s="171">
        <v>147928</v>
      </c>
      <c r="C25" s="194">
        <f t="shared" ref="C25:C27" si="3">B25/$B$28*100</f>
        <v>21.500975282192307</v>
      </c>
      <c r="D25" s="189">
        <f>(B25-141255)/141255*100</f>
        <v>4.724080563519875</v>
      </c>
      <c r="E25" s="171"/>
      <c r="F25" s="308">
        <v>106421</v>
      </c>
      <c r="G25" s="194">
        <f t="shared" ref="G25:G27" si="4">F25/$F$28*100</f>
        <v>17.243888053510318</v>
      </c>
      <c r="H25" s="189">
        <f>(F25-134449)/134449*100</f>
        <v>-20.846566356016037</v>
      </c>
      <c r="I25" s="308"/>
      <c r="J25" s="308">
        <v>185851</v>
      </c>
      <c r="K25" s="194">
        <f t="shared" ref="K25:K27" si="5">J25/$J$28*100</f>
        <v>65.040858107753422</v>
      </c>
      <c r="L25" s="189">
        <f>(J25-130621)/130621*100</f>
        <v>42.282634492156696</v>
      </c>
    </row>
    <row r="26" spans="1:12" ht="9.75" customHeight="1">
      <c r="A26" s="161" t="s">
        <v>119</v>
      </c>
      <c r="B26" s="308">
        <v>8900</v>
      </c>
      <c r="C26" s="194">
        <f t="shared" si="3"/>
        <v>1.2935933698252631</v>
      </c>
      <c r="D26" s="189">
        <f>(B26-6482)/6482*100</f>
        <v>37.303301450169698</v>
      </c>
      <c r="E26" s="308"/>
      <c r="F26" s="308">
        <v>6170</v>
      </c>
      <c r="G26" s="194">
        <f t="shared" si="4"/>
        <v>0.99975370735248359</v>
      </c>
      <c r="H26" s="189">
        <f>(F26-5317)/5317*100</f>
        <v>16.042881324054921</v>
      </c>
      <c r="I26" s="308"/>
      <c r="J26" s="308">
        <v>7867</v>
      </c>
      <c r="K26" s="194">
        <f t="shared" si="5"/>
        <v>2.7531540359411362</v>
      </c>
      <c r="L26" s="189">
        <f>(J26-4323)/4323*100</f>
        <v>81.980106407587328</v>
      </c>
    </row>
    <row r="27" spans="1:12" ht="9.75" customHeight="1">
      <c r="A27" s="168" t="s">
        <v>120</v>
      </c>
      <c r="B27" s="308">
        <v>277</v>
      </c>
      <c r="C27" s="194">
        <f t="shared" si="3"/>
        <v>4.0261276791190771E-2</v>
      </c>
      <c r="D27" s="189">
        <f>(B27-294)/294*100</f>
        <v>-5.7823129251700678</v>
      </c>
      <c r="E27" s="308"/>
      <c r="F27" s="308">
        <v>249</v>
      </c>
      <c r="G27" s="194">
        <f t="shared" si="4"/>
        <v>4.0346624494451928E-2</v>
      </c>
      <c r="H27" s="189">
        <f>(F27-287)/287*100</f>
        <v>-13.240418118466899</v>
      </c>
      <c r="I27" s="308"/>
      <c r="J27" s="308">
        <v>299</v>
      </c>
      <c r="K27" s="194">
        <f t="shared" si="5"/>
        <v>0.10463875133423156</v>
      </c>
      <c r="L27" s="189">
        <f>(J27-259)/259*100</f>
        <v>15.444015444015443</v>
      </c>
    </row>
    <row r="28" spans="1:12" ht="9.75" customHeight="1">
      <c r="A28" s="317" t="s">
        <v>58</v>
      </c>
      <c r="B28" s="318">
        <f>SUM(B24:B27)</f>
        <v>688006</v>
      </c>
      <c r="C28" s="197">
        <v>100</v>
      </c>
      <c r="D28" s="316">
        <f>(B28-551335)/551335*100</f>
        <v>24.789102814078554</v>
      </c>
      <c r="E28" s="318"/>
      <c r="F28" s="318">
        <f>SUM(F24:F27)</f>
        <v>617152</v>
      </c>
      <c r="G28" s="197">
        <v>100</v>
      </c>
      <c r="H28" s="316">
        <f>(F28-521945)/521945*100</f>
        <v>18.240810813399879</v>
      </c>
      <c r="I28" s="318"/>
      <c r="J28" s="318">
        <f>SUM(J24:J27)</f>
        <v>285745</v>
      </c>
      <c r="K28" s="197">
        <v>100</v>
      </c>
      <c r="L28" s="316">
        <f>(J28-164013)/164013*100</f>
        <v>74.220945900629829</v>
      </c>
    </row>
    <row r="29" spans="1:12" ht="3" customHeight="1">
      <c r="A29" s="305"/>
      <c r="B29" s="198"/>
      <c r="C29" s="198"/>
      <c r="D29" s="198"/>
      <c r="E29" s="198"/>
      <c r="F29" s="198"/>
      <c r="G29" s="198"/>
      <c r="H29" s="198"/>
      <c r="I29" s="198"/>
      <c r="J29" s="198"/>
      <c r="K29" s="198"/>
      <c r="L29" s="168"/>
    </row>
    <row r="30" spans="1:12" ht="12" customHeight="1">
      <c r="A30" s="168"/>
      <c r="B30" s="615" t="s">
        <v>121</v>
      </c>
      <c r="C30" s="615"/>
      <c r="D30" s="615"/>
      <c r="E30" s="615"/>
      <c r="F30" s="615"/>
      <c r="G30" s="615"/>
      <c r="H30" s="615"/>
      <c r="I30" s="615"/>
      <c r="J30" s="615"/>
      <c r="K30" s="615"/>
      <c r="L30" s="615"/>
    </row>
    <row r="31" spans="1:12" ht="3" customHeight="1">
      <c r="A31" s="305"/>
      <c r="B31" s="198"/>
      <c r="C31" s="198"/>
      <c r="D31" s="198"/>
      <c r="E31" s="198"/>
      <c r="F31" s="198"/>
      <c r="G31" s="198"/>
      <c r="H31" s="198"/>
      <c r="I31" s="198"/>
      <c r="J31" s="198"/>
      <c r="K31" s="198"/>
      <c r="L31" s="168"/>
    </row>
    <row r="32" spans="1:12" ht="9.75" customHeight="1">
      <c r="A32" s="305" t="s">
        <v>122</v>
      </c>
      <c r="B32" s="195">
        <v>180</v>
      </c>
      <c r="C32" s="194">
        <f>B32/$B$34*100</f>
        <v>1.0249402118209772</v>
      </c>
      <c r="D32" s="189">
        <f>(B32-187)/187*100</f>
        <v>-3.7433155080213902</v>
      </c>
      <c r="E32" s="195"/>
      <c r="F32" s="195">
        <v>152</v>
      </c>
      <c r="G32" s="194">
        <f>F32/$F$34*100</f>
        <v>0.89527623983979265</v>
      </c>
      <c r="H32" s="189">
        <f>(F32-161)/161*100</f>
        <v>-5.5900621118012426</v>
      </c>
      <c r="I32" s="195"/>
      <c r="J32" s="195">
        <v>142</v>
      </c>
      <c r="K32" s="194">
        <f>J32/$J$34*100</f>
        <v>2.3255813953488373</v>
      </c>
      <c r="L32" s="189">
        <f>(J32-94)/94*100</f>
        <v>51.063829787234042</v>
      </c>
    </row>
    <row r="33" spans="1:13" ht="9.75" customHeight="1">
      <c r="A33" s="305" t="s">
        <v>123</v>
      </c>
      <c r="B33" s="195">
        <v>17382</v>
      </c>
      <c r="C33" s="194">
        <f>B33/$B$34*100</f>
        <v>98.975059788179024</v>
      </c>
      <c r="D33" s="189">
        <f>(B33-17703)/17703*100</f>
        <v>-1.8132519911879343</v>
      </c>
      <c r="E33" s="195"/>
      <c r="F33" s="195">
        <v>16826</v>
      </c>
      <c r="G33" s="194">
        <f>F33/$F$34*100</f>
        <v>99.104723760160212</v>
      </c>
      <c r="H33" s="189">
        <f>(F33-17849)/17849*100</f>
        <v>-5.7314135245672029</v>
      </c>
      <c r="I33" s="195"/>
      <c r="J33" s="195">
        <v>5964</v>
      </c>
      <c r="K33" s="194">
        <f>J33/$J$34*100</f>
        <v>97.674418604651152</v>
      </c>
      <c r="L33" s="189">
        <f>(J33-4680)/4680*100</f>
        <v>27.435897435897438</v>
      </c>
    </row>
    <row r="34" spans="1:13" ht="9.75" customHeight="1">
      <c r="A34" s="319" t="s">
        <v>124</v>
      </c>
      <c r="B34" s="320">
        <v>17562</v>
      </c>
      <c r="C34" s="197">
        <v>100</v>
      </c>
      <c r="D34" s="316">
        <f>(B34-17890)/17890*100</f>
        <v>-1.8334264952487422</v>
      </c>
      <c r="E34" s="199"/>
      <c r="F34" s="320">
        <f>SUM(F32:F33)</f>
        <v>16978</v>
      </c>
      <c r="G34" s="197">
        <v>100</v>
      </c>
      <c r="H34" s="316">
        <f>(F34-18010)/18010*100</f>
        <v>-5.7301499167129375</v>
      </c>
      <c r="I34" s="199"/>
      <c r="J34" s="320">
        <v>6106</v>
      </c>
      <c r="K34" s="197">
        <f>J34/$J$34*100</f>
        <v>100</v>
      </c>
      <c r="L34" s="316">
        <f>(J34-4774)/4774*100</f>
        <v>27.901131126937578</v>
      </c>
    </row>
    <row r="35" spans="1:13" ht="6.75" customHeight="1">
      <c r="A35" s="319"/>
      <c r="B35" s="196"/>
      <c r="C35" s="321"/>
      <c r="D35" s="321"/>
      <c r="E35" s="322"/>
      <c r="F35" s="196"/>
      <c r="G35" s="321"/>
      <c r="H35" s="321"/>
      <c r="I35" s="322"/>
      <c r="J35" s="196"/>
      <c r="K35" s="321"/>
      <c r="L35" s="309"/>
    </row>
    <row r="36" spans="1:13" ht="9.75" customHeight="1">
      <c r="A36" s="310" t="s">
        <v>125</v>
      </c>
      <c r="B36" s="196">
        <v>417839</v>
      </c>
      <c r="C36" s="194">
        <f>B36/$B$38*100</f>
        <v>42.834238358796043</v>
      </c>
      <c r="D36" s="189">
        <f>(B36-421594)/421594*100</f>
        <v>-0.89066732448754016</v>
      </c>
      <c r="E36" s="196"/>
      <c r="F36" s="196">
        <v>359556</v>
      </c>
      <c r="G36" s="194">
        <f>F36/$F$38*100</f>
        <v>40.524082433094961</v>
      </c>
      <c r="H36" s="189">
        <f>(F36-455914)/455914*100</f>
        <v>-21.135126361550643</v>
      </c>
      <c r="I36" s="196"/>
      <c r="J36" s="196">
        <v>880163</v>
      </c>
      <c r="K36" s="194">
        <f>J36/$J$38*100</f>
        <v>89.251269820506351</v>
      </c>
      <c r="L36" s="189">
        <f>(J36-767033)/767033*100</f>
        <v>14.74903948070031</v>
      </c>
    </row>
    <row r="37" spans="1:13" ht="9.75" customHeight="1">
      <c r="A37" s="310" t="s">
        <v>126</v>
      </c>
      <c r="B37" s="196">
        <v>557640</v>
      </c>
      <c r="C37" s="194">
        <f>B37/$B$38*100</f>
        <v>57.165761641203957</v>
      </c>
      <c r="D37" s="189">
        <f>(B37-427970)/427970*100</f>
        <v>30.29885272332173</v>
      </c>
      <c r="E37" s="196"/>
      <c r="F37" s="196">
        <v>527709</v>
      </c>
      <c r="G37" s="194">
        <f>F37/$F$38*100</f>
        <v>59.475917566905032</v>
      </c>
      <c r="H37" s="189">
        <f>(F37-405506)/405506*100</f>
        <v>30.135928938166145</v>
      </c>
      <c r="I37" s="196"/>
      <c r="J37" s="196">
        <v>106000</v>
      </c>
      <c r="K37" s="194">
        <f>J37/$J$38*100</f>
        <v>10.748730179493654</v>
      </c>
      <c r="L37" s="189">
        <f>(J37-38166)/38166*100</f>
        <v>177.73410889273177</v>
      </c>
    </row>
    <row r="38" spans="1:13" ht="9.75" customHeight="1">
      <c r="A38" s="319" t="s">
        <v>127</v>
      </c>
      <c r="B38" s="199">
        <f>SUM(B36:B37)</f>
        <v>975479</v>
      </c>
      <c r="C38" s="197">
        <v>100</v>
      </c>
      <c r="D38" s="316">
        <f>(B38-849564)/849564*100</f>
        <v>14.82113178053684</v>
      </c>
      <c r="E38" s="199"/>
      <c r="F38" s="199">
        <v>887265</v>
      </c>
      <c r="G38" s="197">
        <v>100</v>
      </c>
      <c r="H38" s="316">
        <f>(F38-861420)/861420*100</f>
        <v>3.0002786097374101</v>
      </c>
      <c r="I38" s="199"/>
      <c r="J38" s="199">
        <v>986163</v>
      </c>
      <c r="K38" s="197">
        <v>100</v>
      </c>
      <c r="L38" s="316">
        <f>(J38-861420)/861420*100</f>
        <v>14.481089364073274</v>
      </c>
    </row>
    <row r="39" spans="1:13" ht="3" customHeight="1">
      <c r="A39" s="319"/>
      <c r="B39" s="199"/>
      <c r="C39" s="197"/>
      <c r="D39" s="316"/>
      <c r="E39" s="199"/>
      <c r="F39" s="199"/>
      <c r="G39" s="197"/>
      <c r="H39" s="316"/>
      <c r="I39" s="199"/>
      <c r="J39" s="199"/>
      <c r="K39" s="197"/>
      <c r="L39" s="323"/>
    </row>
    <row r="40" spans="1:13" ht="3" customHeight="1">
      <c r="A40" s="564"/>
      <c r="B40" s="565"/>
      <c r="C40" s="565"/>
      <c r="D40" s="565"/>
      <c r="E40" s="565"/>
      <c r="F40" s="565"/>
      <c r="G40" s="565"/>
      <c r="H40" s="565"/>
      <c r="I40" s="565"/>
      <c r="J40" s="565"/>
      <c r="K40" s="565"/>
      <c r="L40" s="166"/>
    </row>
    <row r="41" spans="1:13" s="550" customFormat="1" ht="9.75" customHeight="1">
      <c r="A41" s="602" t="s">
        <v>128</v>
      </c>
      <c r="B41" s="602"/>
      <c r="C41" s="602"/>
      <c r="D41" s="602"/>
      <c r="E41" s="602"/>
      <c r="F41" s="602"/>
      <c r="G41" s="602"/>
      <c r="H41" s="602"/>
      <c r="I41" s="602"/>
      <c r="J41" s="602"/>
      <c r="K41" s="602"/>
      <c r="L41" s="602"/>
      <c r="M41" s="602"/>
    </row>
    <row r="42" spans="1:13" s="179" customFormat="1" ht="18" customHeight="1">
      <c r="A42" s="602" t="s">
        <v>129</v>
      </c>
      <c r="B42" s="602"/>
      <c r="C42" s="602"/>
      <c r="D42" s="602"/>
      <c r="E42" s="602"/>
      <c r="F42" s="602"/>
      <c r="G42" s="602"/>
      <c r="H42" s="602"/>
      <c r="I42" s="602"/>
      <c r="J42" s="602"/>
      <c r="K42" s="602"/>
      <c r="L42" s="602"/>
    </row>
    <row r="43" spans="1:13" s="179" customFormat="1" ht="9.75" customHeight="1">
      <c r="A43" s="602" t="s">
        <v>130</v>
      </c>
      <c r="B43" s="602"/>
      <c r="C43" s="602"/>
      <c r="D43" s="602"/>
      <c r="E43" s="602"/>
      <c r="F43" s="602"/>
      <c r="G43" s="602"/>
      <c r="H43" s="602"/>
      <c r="I43" s="602"/>
      <c r="J43" s="602"/>
      <c r="K43" s="602"/>
      <c r="L43" s="602"/>
    </row>
    <row r="44" spans="1:13" s="179" customFormat="1" ht="27" customHeight="1">
      <c r="A44" s="602" t="s">
        <v>131</v>
      </c>
      <c r="B44" s="603"/>
      <c r="C44" s="603"/>
      <c r="D44" s="603"/>
      <c r="E44" s="603"/>
      <c r="F44" s="603"/>
      <c r="G44" s="603"/>
      <c r="H44" s="603"/>
      <c r="I44" s="603"/>
      <c r="J44" s="603"/>
      <c r="K44" s="603"/>
      <c r="L44" s="603"/>
    </row>
    <row r="45" spans="1:13" s="179" customFormat="1" ht="9.75" customHeight="1">
      <c r="A45" s="161" t="s">
        <v>132</v>
      </c>
      <c r="B45" s="324"/>
      <c r="C45" s="324"/>
      <c r="D45" s="324"/>
      <c r="E45" s="324"/>
      <c r="F45" s="324"/>
      <c r="G45" s="324"/>
      <c r="H45" s="324"/>
      <c r="I45" s="324"/>
      <c r="J45" s="324"/>
      <c r="K45" s="324"/>
      <c r="L45" s="325"/>
    </row>
    <row r="46" spans="1:13" s="179" customFormat="1" ht="9.75" customHeight="1">
      <c r="A46" s="602" t="s">
        <v>133</v>
      </c>
      <c r="B46" s="602"/>
      <c r="C46" s="602"/>
      <c r="D46" s="602"/>
      <c r="E46" s="602"/>
      <c r="F46" s="602"/>
      <c r="G46" s="602"/>
      <c r="H46" s="602"/>
      <c r="I46" s="602"/>
      <c r="J46" s="602"/>
      <c r="K46" s="602"/>
      <c r="L46" s="602"/>
    </row>
    <row r="47" spans="1:13" s="179" customFormat="1">
      <c r="A47" s="603" t="s">
        <v>134</v>
      </c>
      <c r="B47" s="603"/>
      <c r="C47" s="603"/>
      <c r="D47" s="603"/>
      <c r="E47" s="603"/>
      <c r="F47" s="603"/>
      <c r="G47" s="603"/>
      <c r="H47" s="603"/>
      <c r="I47" s="603"/>
      <c r="J47" s="603"/>
      <c r="K47" s="603"/>
      <c r="L47" s="603"/>
    </row>
    <row r="48" spans="1:13" s="179" customFormat="1" ht="18" customHeight="1">
      <c r="A48" s="603" t="s">
        <v>135</v>
      </c>
      <c r="B48" s="603"/>
      <c r="C48" s="603"/>
      <c r="D48" s="603"/>
      <c r="E48" s="603"/>
      <c r="F48" s="603"/>
      <c r="G48" s="603"/>
      <c r="H48" s="603"/>
      <c r="I48" s="603"/>
      <c r="J48" s="603"/>
      <c r="K48" s="603"/>
      <c r="L48" s="603"/>
    </row>
    <row r="49" spans="1:12" ht="9.75" customHeight="1">
      <c r="A49" s="602"/>
      <c r="B49" s="603"/>
      <c r="C49" s="603"/>
      <c r="D49" s="603"/>
      <c r="E49" s="603"/>
      <c r="F49" s="603"/>
      <c r="G49" s="603"/>
      <c r="H49" s="603"/>
      <c r="I49" s="603"/>
      <c r="J49" s="603"/>
      <c r="K49" s="603"/>
      <c r="L49" s="603"/>
    </row>
    <row r="50" spans="1:12" ht="15" customHeight="1">
      <c r="B50" s="482"/>
      <c r="F50" s="482"/>
      <c r="J50" s="482"/>
    </row>
    <row r="51" spans="1:12" ht="15" customHeight="1">
      <c r="B51" s="483"/>
      <c r="F51" s="483"/>
      <c r="J51" s="483"/>
    </row>
    <row r="52" spans="1:12">
      <c r="B52" s="482"/>
      <c r="F52" s="482"/>
      <c r="J52" s="482"/>
    </row>
  </sheetData>
  <mergeCells count="16">
    <mergeCell ref="A46:L46"/>
    <mergeCell ref="A47:L47"/>
    <mergeCell ref="A48:L48"/>
    <mergeCell ref="A49:L49"/>
    <mergeCell ref="A41:M41"/>
    <mergeCell ref="B22:L22"/>
    <mergeCell ref="B30:L30"/>
    <mergeCell ref="A42:L42"/>
    <mergeCell ref="A43:L43"/>
    <mergeCell ref="A44:L44"/>
    <mergeCell ref="B12:L12"/>
    <mergeCell ref="A8:A9"/>
    <mergeCell ref="B8:D8"/>
    <mergeCell ref="F8:H8"/>
    <mergeCell ref="J8:L8"/>
    <mergeCell ref="B11:L11"/>
  </mergeCells>
  <pageMargins left="0.7" right="0.7" top="0.75" bottom="0.75" header="0.3" footer="0.3"/>
  <pageSetup paperSize="9" scale="8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95"/>
  <sheetViews>
    <sheetView zoomScaleNormal="100" workbookViewId="0">
      <selection activeCell="A4" sqref="A4"/>
    </sheetView>
  </sheetViews>
  <sheetFormatPr defaultColWidth="9" defaultRowHeight="14.5"/>
  <cols>
    <col min="1" max="1" width="30.1796875" customWidth="1"/>
    <col min="2" max="2" width="8.81640625" customWidth="1"/>
    <col min="3" max="3" width="9" customWidth="1"/>
    <col min="4" max="4" width="8.81640625" customWidth="1"/>
    <col min="5" max="5" width="1" customWidth="1"/>
    <col min="6" max="6" width="9.54296875" customWidth="1"/>
    <col min="7" max="7" width="9" customWidth="1"/>
    <col min="8" max="8" width="8.453125" customWidth="1"/>
    <col min="9" max="9" width="0.81640625" customWidth="1"/>
    <col min="10" max="10" width="8.54296875" customWidth="1"/>
    <col min="11" max="11" width="9" customWidth="1"/>
    <col min="12" max="12" width="8.453125" customWidth="1"/>
    <col min="30" max="30" width="24.54296875" customWidth="1"/>
    <col min="286" max="286" width="24.54296875" customWidth="1"/>
    <col min="542" max="542" width="24.54296875" customWidth="1"/>
    <col min="798" max="798" width="24.54296875" customWidth="1"/>
    <col min="1054" max="1054" width="24.54296875" customWidth="1"/>
    <col min="1310" max="1310" width="24.54296875" customWidth="1"/>
    <col min="1566" max="1566" width="24.54296875" customWidth="1"/>
    <col min="1822" max="1822" width="24.54296875" customWidth="1"/>
    <col min="2078" max="2078" width="24.54296875" customWidth="1"/>
    <col min="2334" max="2334" width="24.54296875" customWidth="1"/>
    <col min="2590" max="2590" width="24.54296875" customWidth="1"/>
    <col min="2846" max="2846" width="24.54296875" customWidth="1"/>
    <col min="3102" max="3102" width="24.54296875" customWidth="1"/>
    <col min="3358" max="3358" width="24.54296875" customWidth="1"/>
    <col min="3614" max="3614" width="24.54296875" customWidth="1"/>
    <col min="3870" max="3870" width="24.54296875" customWidth="1"/>
    <col min="4126" max="4126" width="24.54296875" customWidth="1"/>
    <col min="4382" max="4382" width="24.54296875" customWidth="1"/>
    <col min="4638" max="4638" width="24.54296875" customWidth="1"/>
    <col min="4894" max="4894" width="24.54296875" customWidth="1"/>
    <col min="5150" max="5150" width="24.54296875" customWidth="1"/>
    <col min="5406" max="5406" width="24.54296875" customWidth="1"/>
    <col min="5662" max="5662" width="24.54296875" customWidth="1"/>
    <col min="5918" max="5918" width="24.54296875" customWidth="1"/>
    <col min="6174" max="6174" width="24.54296875" customWidth="1"/>
    <col min="6430" max="6430" width="24.54296875" customWidth="1"/>
    <col min="6686" max="6686" width="24.54296875" customWidth="1"/>
    <col min="6942" max="6942" width="24.54296875" customWidth="1"/>
    <col min="7198" max="7198" width="24.54296875" customWidth="1"/>
    <col min="7454" max="7454" width="24.54296875" customWidth="1"/>
    <col min="7710" max="7710" width="24.54296875" customWidth="1"/>
    <col min="7966" max="7966" width="24.54296875" customWidth="1"/>
    <col min="8222" max="8222" width="24.54296875" customWidth="1"/>
    <col min="8478" max="8478" width="24.54296875" customWidth="1"/>
    <col min="8734" max="8734" width="24.54296875" customWidth="1"/>
    <col min="8990" max="8990" width="24.54296875" customWidth="1"/>
    <col min="9246" max="9246" width="24.54296875" customWidth="1"/>
    <col min="9502" max="9502" width="24.54296875" customWidth="1"/>
    <col min="9758" max="9758" width="24.54296875" customWidth="1"/>
    <col min="10014" max="10014" width="24.54296875" customWidth="1"/>
    <col min="10270" max="10270" width="24.54296875" customWidth="1"/>
    <col min="10526" max="10526" width="24.54296875" customWidth="1"/>
    <col min="10782" max="10782" width="24.54296875" customWidth="1"/>
    <col min="11038" max="11038" width="24.54296875" customWidth="1"/>
    <col min="11294" max="11294" width="24.54296875" customWidth="1"/>
    <col min="11550" max="11550" width="24.54296875" customWidth="1"/>
    <col min="11806" max="11806" width="24.54296875" customWidth="1"/>
    <col min="12062" max="12062" width="24.54296875" customWidth="1"/>
    <col min="12318" max="12318" width="24.54296875" customWidth="1"/>
    <col min="12574" max="12574" width="24.54296875" customWidth="1"/>
    <col min="12830" max="12830" width="24.54296875" customWidth="1"/>
    <col min="13086" max="13086" width="24.54296875" customWidth="1"/>
    <col min="13342" max="13342" width="24.54296875" customWidth="1"/>
    <col min="13598" max="13598" width="24.54296875" customWidth="1"/>
    <col min="13854" max="13854" width="24.54296875" customWidth="1"/>
    <col min="14110" max="14110" width="24.54296875" customWidth="1"/>
    <col min="14366" max="14366" width="24.54296875" customWidth="1"/>
    <col min="14622" max="14622" width="24.54296875" customWidth="1"/>
    <col min="14878" max="14878" width="24.54296875" customWidth="1"/>
    <col min="15134" max="15134" width="24.54296875" customWidth="1"/>
    <col min="15390" max="15390" width="24.54296875" customWidth="1"/>
    <col min="15646" max="15646" width="24.54296875" customWidth="1"/>
    <col min="15902" max="15902" width="24.54296875" customWidth="1"/>
  </cols>
  <sheetData>
    <row r="1" spans="1:12" ht="12" customHeight="1"/>
    <row r="2" spans="1:12" ht="12" customHeight="1"/>
    <row r="3" spans="1:12" ht="12" customHeight="1"/>
    <row r="4" spans="1:12" s="159" customFormat="1" ht="12" customHeight="1">
      <c r="A4" s="158" t="s">
        <v>9</v>
      </c>
    </row>
    <row r="5" spans="1:12" s="159" customFormat="1" ht="12" customHeight="1">
      <c r="A5" s="158" t="s">
        <v>136</v>
      </c>
      <c r="B5" s="158"/>
    </row>
    <row r="6" spans="1:12" s="159" customFormat="1" ht="12" customHeight="1">
      <c r="A6" s="284" t="s">
        <v>11</v>
      </c>
    </row>
    <row r="7" spans="1:12" s="166" customFormat="1" ht="6" customHeight="1"/>
    <row r="8" spans="1:12" s="200" customFormat="1" ht="10" customHeight="1">
      <c r="A8" s="566" t="s">
        <v>100</v>
      </c>
      <c r="B8" s="626" t="s">
        <v>101</v>
      </c>
      <c r="C8" s="626"/>
      <c r="D8" s="626"/>
      <c r="E8" s="567"/>
      <c r="F8" s="626" t="s">
        <v>102</v>
      </c>
      <c r="G8" s="626"/>
      <c r="H8" s="626"/>
      <c r="I8" s="568"/>
      <c r="J8" s="627" t="s">
        <v>103</v>
      </c>
      <c r="K8" s="627"/>
      <c r="L8" s="627"/>
    </row>
    <row r="9" spans="1:12" s="168" customFormat="1" ht="23.25" customHeight="1">
      <c r="A9" s="489"/>
      <c r="B9" s="569" t="s">
        <v>104</v>
      </c>
      <c r="C9" s="569" t="s">
        <v>105</v>
      </c>
      <c r="D9" s="563" t="s">
        <v>106</v>
      </c>
      <c r="E9" s="569"/>
      <c r="F9" s="569" t="s">
        <v>104</v>
      </c>
      <c r="G9" s="569" t="s">
        <v>105</v>
      </c>
      <c r="H9" s="563" t="s">
        <v>106</v>
      </c>
      <c r="I9" s="201"/>
      <c r="J9" s="569" t="s">
        <v>104</v>
      </c>
      <c r="K9" s="569" t="s">
        <v>105</v>
      </c>
      <c r="L9" s="563" t="s">
        <v>106</v>
      </c>
    </row>
    <row r="10" spans="1:12" s="168" customFormat="1" ht="3" customHeight="1">
      <c r="A10" s="326"/>
      <c r="B10" s="326"/>
      <c r="C10" s="173"/>
      <c r="D10" s="173"/>
      <c r="E10" s="173"/>
      <c r="F10" s="173"/>
      <c r="G10" s="173"/>
      <c r="H10" s="173"/>
      <c r="I10" s="173"/>
      <c r="J10" s="173"/>
      <c r="K10" s="173"/>
      <c r="L10" s="173"/>
    </row>
    <row r="11" spans="1:12" s="168" customFormat="1" ht="9.75" customHeight="1">
      <c r="A11" s="326"/>
      <c r="B11" s="628" t="s">
        <v>107</v>
      </c>
      <c r="C11" s="628"/>
      <c r="D11" s="628"/>
      <c r="E11" s="628"/>
      <c r="F11" s="628"/>
      <c r="G11" s="628"/>
      <c r="H11" s="628"/>
      <c r="I11" s="628"/>
      <c r="J11" s="628"/>
      <c r="K11" s="628"/>
      <c r="L11" s="628"/>
    </row>
    <row r="12" spans="1:12" s="168" customFormat="1" ht="3" customHeight="1">
      <c r="A12" s="326"/>
      <c r="B12" s="326"/>
      <c r="C12" s="173"/>
      <c r="D12" s="173"/>
      <c r="E12" s="173"/>
      <c r="F12" s="173"/>
      <c r="G12" s="173"/>
      <c r="H12" s="173"/>
      <c r="I12" s="173"/>
      <c r="J12" s="173"/>
      <c r="K12" s="173"/>
      <c r="L12" s="173"/>
    </row>
    <row r="13" spans="1:12" s="49" customFormat="1" ht="10" customHeight="1">
      <c r="B13" s="629" t="s">
        <v>108</v>
      </c>
      <c r="C13" s="629"/>
      <c r="D13" s="629"/>
      <c r="E13" s="629"/>
      <c r="F13" s="629"/>
      <c r="G13" s="629"/>
      <c r="H13" s="629"/>
      <c r="I13" s="629"/>
      <c r="J13" s="629"/>
      <c r="K13" s="629"/>
      <c r="L13" s="629"/>
    </row>
    <row r="14" spans="1:12" s="49" customFormat="1" ht="3" customHeight="1">
      <c r="A14" s="327"/>
      <c r="B14" s="327"/>
      <c r="C14" s="169"/>
      <c r="D14" s="169"/>
      <c r="E14" s="177"/>
      <c r="F14" s="177"/>
      <c r="G14" s="202"/>
      <c r="H14" s="202"/>
      <c r="I14" s="177"/>
      <c r="J14" s="177"/>
      <c r="K14" s="162"/>
      <c r="L14" s="162"/>
    </row>
    <row r="15" spans="1:12" s="205" customFormat="1" ht="9" customHeight="1">
      <c r="A15" s="328" t="s">
        <v>137</v>
      </c>
      <c r="B15" s="204">
        <v>269621</v>
      </c>
      <c r="C15" s="203">
        <f>B15/$B$17*100</f>
        <v>77.024888299756597</v>
      </c>
      <c r="D15" s="203">
        <f>(B15-214222)/214222*100</f>
        <v>25.860555871945923</v>
      </c>
      <c r="E15" s="204"/>
      <c r="F15" s="206">
        <v>239550</v>
      </c>
      <c r="G15" s="203">
        <f>F15/$F$17*100</f>
        <v>68.389513322465618</v>
      </c>
      <c r="H15" s="203">
        <f>(F15-240280)/240280*100</f>
        <v>-0.30381221907774264</v>
      </c>
      <c r="I15" s="204"/>
      <c r="J15" s="206">
        <v>504221</v>
      </c>
      <c r="K15" s="203">
        <f>J15/$J$17*100</f>
        <v>70.695725203897226</v>
      </c>
      <c r="L15" s="203">
        <f>(J15-473655)/473655*100</f>
        <v>6.4532201707994217</v>
      </c>
    </row>
    <row r="16" spans="1:12" s="205" customFormat="1" ht="9" customHeight="1">
      <c r="A16" s="329" t="s">
        <v>138</v>
      </c>
      <c r="B16" s="204">
        <v>80423</v>
      </c>
      <c r="C16" s="203">
        <f>B16/$B$17*100</f>
        <v>22.975111700243396</v>
      </c>
      <c r="D16" s="203">
        <f>(B16-81977)/81977*100</f>
        <v>-1.8956536589531212</v>
      </c>
      <c r="E16" s="204"/>
      <c r="F16" s="206">
        <v>110723</v>
      </c>
      <c r="G16" s="203">
        <f>F16/$F$17*100</f>
        <v>31.610486677534382</v>
      </c>
      <c r="H16" s="203">
        <f>(F16-124133)/124133*100</f>
        <v>-10.802929116351011</v>
      </c>
      <c r="I16" s="204"/>
      <c r="J16" s="206">
        <v>209006</v>
      </c>
      <c r="K16" s="203">
        <f>J16/$J$17*100</f>
        <v>29.304274796102785</v>
      </c>
      <c r="L16" s="203">
        <f>(J16-236505)/236505*100</f>
        <v>-11.627238324771147</v>
      </c>
    </row>
    <row r="17" spans="1:12" s="208" customFormat="1" ht="15" customHeight="1">
      <c r="A17" s="330" t="s">
        <v>139</v>
      </c>
      <c r="B17" s="331">
        <f>SUM(B15:B16)</f>
        <v>350044</v>
      </c>
      <c r="C17" s="207">
        <v>100</v>
      </c>
      <c r="D17" s="207">
        <f>(B17-296199)/296199*100</f>
        <v>18.178656916464945</v>
      </c>
      <c r="E17" s="332"/>
      <c r="F17" s="331">
        <f>SUM(F15:F16)</f>
        <v>350273</v>
      </c>
      <c r="G17" s="207">
        <v>100</v>
      </c>
      <c r="H17" s="207">
        <f>(F17-364413)/364413*100</f>
        <v>-3.880212835436716</v>
      </c>
      <c r="I17" s="333"/>
      <c r="J17" s="331">
        <f>SUM(J15:J16)</f>
        <v>713227</v>
      </c>
      <c r="K17" s="207">
        <v>100</v>
      </c>
      <c r="L17" s="207">
        <f>(J17-710160)/710160*100</f>
        <v>0.4318745071533176</v>
      </c>
    </row>
    <row r="18" spans="1:12" s="49" customFormat="1" ht="3" customHeight="1">
      <c r="A18" s="334"/>
      <c r="B18" s="335"/>
      <c r="C18" s="206"/>
      <c r="D18" s="206"/>
      <c r="E18" s="204"/>
      <c r="F18" s="204"/>
      <c r="G18" s="336"/>
      <c r="H18" s="336"/>
      <c r="I18" s="206"/>
      <c r="J18" s="206"/>
      <c r="K18" s="206"/>
      <c r="L18" s="206"/>
    </row>
    <row r="19" spans="1:12" s="49" customFormat="1" ht="10" customHeight="1">
      <c r="B19" s="623" t="s">
        <v>140</v>
      </c>
      <c r="C19" s="623"/>
      <c r="D19" s="623"/>
      <c r="E19" s="623"/>
      <c r="F19" s="623"/>
      <c r="G19" s="623"/>
      <c r="H19" s="623"/>
      <c r="I19" s="623"/>
      <c r="J19" s="623"/>
      <c r="K19" s="623"/>
      <c r="L19" s="623"/>
    </row>
    <row r="20" spans="1:12" s="49" customFormat="1" ht="3" customHeight="1">
      <c r="A20" s="334"/>
      <c r="B20" s="335"/>
      <c r="C20" s="206"/>
      <c r="D20" s="206"/>
      <c r="E20" s="206"/>
      <c r="F20" s="206"/>
      <c r="G20" s="206"/>
      <c r="H20" s="206"/>
      <c r="I20" s="206"/>
      <c r="J20" s="206"/>
      <c r="K20" s="206"/>
      <c r="L20" s="206"/>
    </row>
    <row r="21" spans="1:12" s="49" customFormat="1" ht="10" customHeight="1">
      <c r="A21" s="329" t="s">
        <v>141</v>
      </c>
      <c r="B21" s="335">
        <v>70310</v>
      </c>
      <c r="C21" s="203">
        <v>64.77855885902764</v>
      </c>
      <c r="D21" s="203">
        <f>(B21-66190)/66190*100</f>
        <v>6.2245052122677142</v>
      </c>
      <c r="E21" s="214"/>
      <c r="F21" s="206">
        <v>62577</v>
      </c>
      <c r="G21" s="203">
        <v>58.490830575963216</v>
      </c>
      <c r="H21" s="203">
        <f>(F21-69405)/69405*100</f>
        <v>-9.8379079317052085</v>
      </c>
      <c r="I21" s="206"/>
      <c r="J21" s="206">
        <v>30775</v>
      </c>
      <c r="K21" s="203">
        <v>35.292835927017514</v>
      </c>
      <c r="L21" s="203">
        <f>(J21-21540)/21540*100</f>
        <v>42.87372330547818</v>
      </c>
    </row>
    <row r="22" spans="1:12" s="49" customFormat="1" ht="10" customHeight="1">
      <c r="A22" s="329" t="s">
        <v>142</v>
      </c>
      <c r="B22" s="335">
        <v>38229</v>
      </c>
      <c r="C22" s="203">
        <v>35.221441140972374</v>
      </c>
      <c r="D22" s="203">
        <f>(B22-45009)/45009*100</f>
        <v>-15.06365393587949</v>
      </c>
      <c r="E22" s="206"/>
      <c r="F22" s="206">
        <v>44409</v>
      </c>
      <c r="G22" s="203">
        <v>41.509169424036791</v>
      </c>
      <c r="H22" s="203">
        <f>(F22-59627)/59627*100</f>
        <v>-25.521995069347781</v>
      </c>
      <c r="I22" s="206"/>
      <c r="J22" s="337">
        <v>56424</v>
      </c>
      <c r="K22" s="203">
        <v>64.707164072982494</v>
      </c>
      <c r="L22" s="203">
        <f>(J22-62050)/62050*100</f>
        <v>-9.0668815471394026</v>
      </c>
    </row>
    <row r="23" spans="1:12" s="208" customFormat="1" ht="10" customHeight="1">
      <c r="A23" s="330" t="s">
        <v>143</v>
      </c>
      <c r="B23" s="331">
        <v>108539</v>
      </c>
      <c r="C23" s="207">
        <v>100</v>
      </c>
      <c r="D23" s="207">
        <f>(B23-111199)/111199*100</f>
        <v>-2.3921078426964271</v>
      </c>
      <c r="E23" s="333"/>
      <c r="F23" s="331">
        <v>106986</v>
      </c>
      <c r="G23" s="207">
        <v>100</v>
      </c>
      <c r="H23" s="207">
        <f>(F23-129032)/129032*100</f>
        <v>-17.085684171368342</v>
      </c>
      <c r="I23" s="333"/>
      <c r="J23" s="331">
        <v>87199</v>
      </c>
      <c r="K23" s="207">
        <v>100</v>
      </c>
      <c r="L23" s="207">
        <f>(J23-83590)/83590*100</f>
        <v>4.3175020935518598</v>
      </c>
    </row>
    <row r="24" spans="1:12" s="49" customFormat="1" ht="3" customHeight="1">
      <c r="A24" s="327"/>
      <c r="B24" s="335"/>
      <c r="C24" s="206"/>
      <c r="D24" s="206"/>
      <c r="E24" s="206"/>
      <c r="F24" s="206"/>
      <c r="G24" s="336"/>
      <c r="H24" s="336"/>
      <c r="I24" s="206"/>
      <c r="J24" s="206"/>
      <c r="K24" s="214"/>
      <c r="L24" s="206"/>
    </row>
    <row r="25" spans="1:12" s="49" customFormat="1" ht="10" customHeight="1">
      <c r="B25" s="623" t="s">
        <v>144</v>
      </c>
      <c r="C25" s="623"/>
      <c r="D25" s="623"/>
      <c r="E25" s="623"/>
      <c r="F25" s="623"/>
      <c r="G25" s="623"/>
      <c r="H25" s="623"/>
      <c r="I25" s="623"/>
      <c r="J25" s="623"/>
      <c r="K25" s="623"/>
      <c r="L25" s="623"/>
    </row>
    <row r="26" spans="1:12" s="49" customFormat="1" ht="3" customHeight="1">
      <c r="A26" s="327"/>
      <c r="B26" s="335"/>
      <c r="C26" s="206"/>
      <c r="D26" s="206"/>
      <c r="E26" s="206"/>
      <c r="F26" s="206"/>
      <c r="G26" s="336"/>
      <c r="H26" s="336"/>
      <c r="I26" s="206"/>
      <c r="J26" s="206"/>
      <c r="K26" s="206"/>
      <c r="L26" s="206"/>
    </row>
    <row r="27" spans="1:12" s="49" customFormat="1" ht="10" customHeight="1">
      <c r="A27" s="334" t="s">
        <v>145</v>
      </c>
      <c r="B27" s="335">
        <v>77941</v>
      </c>
      <c r="C27" s="203">
        <v>24.799228732881943</v>
      </c>
      <c r="D27" s="203">
        <f>(B27-56681)/56681*100</f>
        <v>37.508159700781569</v>
      </c>
      <c r="E27" s="206"/>
      <c r="F27" s="206">
        <v>66157</v>
      </c>
      <c r="G27" s="203">
        <v>21.220013664050398</v>
      </c>
      <c r="H27" s="203">
        <f>(F27-38317)/38317*100</f>
        <v>72.657045175770534</v>
      </c>
      <c r="I27" s="206"/>
      <c r="J27" s="206">
        <v>73443</v>
      </c>
      <c r="K27" s="203">
        <v>26.478445680663665</v>
      </c>
      <c r="L27" s="203">
        <f>(J27-61578)/61578*100</f>
        <v>19.268245152489524</v>
      </c>
    </row>
    <row r="28" spans="1:12" s="49" customFormat="1" ht="10" customHeight="1">
      <c r="A28" s="334" t="s">
        <v>146</v>
      </c>
      <c r="B28" s="335">
        <v>59260</v>
      </c>
      <c r="C28" s="203">
        <v>18.855317415873337</v>
      </c>
      <c r="D28" s="203">
        <f>(B28-55629)/55629*100</f>
        <v>6.5271710798324616</v>
      </c>
      <c r="E28" s="206"/>
      <c r="F28" s="206">
        <v>62604</v>
      </c>
      <c r="G28" s="203">
        <v>20.080380540596021</v>
      </c>
      <c r="H28" s="203">
        <f>(F28-65361)/65361*100</f>
        <v>-4.2181117179969707</v>
      </c>
      <c r="I28" s="337"/>
      <c r="J28" s="337">
        <v>68557</v>
      </c>
      <c r="K28" s="203">
        <v>24.716893380298448</v>
      </c>
      <c r="L28" s="203">
        <f>(J28-71202)/71202*100</f>
        <v>-3.7147832926041402</v>
      </c>
    </row>
    <row r="29" spans="1:12" s="49" customFormat="1" ht="10" customHeight="1">
      <c r="A29" s="334" t="s">
        <v>147</v>
      </c>
      <c r="B29" s="335">
        <v>79108</v>
      </c>
      <c r="C29" s="203">
        <v>25.170544214223895</v>
      </c>
      <c r="D29" s="203">
        <f>(B29-75873)/75873*100</f>
        <v>4.2637038208585398</v>
      </c>
      <c r="E29" s="206"/>
      <c r="F29" s="206">
        <v>83511</v>
      </c>
      <c r="G29" s="203">
        <v>26.786350062707086</v>
      </c>
      <c r="H29" s="203">
        <f>(F29-85423)/85423*100</f>
        <v>-2.2382730646313056</v>
      </c>
      <c r="I29" s="206"/>
      <c r="J29" s="206">
        <v>109964</v>
      </c>
      <c r="K29" s="203">
        <v>39.645382144363644</v>
      </c>
      <c r="L29" s="203">
        <f>(J29-113994)/113994*100</f>
        <v>-3.5352737863396322</v>
      </c>
    </row>
    <row r="30" spans="1:12" s="49" customFormat="1" ht="10" customHeight="1">
      <c r="A30" s="338" t="s">
        <v>148</v>
      </c>
      <c r="B30" s="335">
        <v>97979</v>
      </c>
      <c r="C30" s="203">
        <v>31.174909637020821</v>
      </c>
      <c r="D30" s="203">
        <f>(B30-93123)/93123*100</f>
        <v>5.2146086358901664</v>
      </c>
      <c r="E30" s="206"/>
      <c r="F30" s="206">
        <v>99495</v>
      </c>
      <c r="G30" s="203">
        <v>31.913255732646494</v>
      </c>
      <c r="H30" s="203">
        <f>(F30-96027)/96027*100</f>
        <v>3.6114842700490488</v>
      </c>
      <c r="I30" s="206"/>
      <c r="J30" s="206">
        <v>25405</v>
      </c>
      <c r="K30" s="203">
        <v>9.1592787946742433</v>
      </c>
      <c r="L30" s="203">
        <f>(J30-27738)/27738*100</f>
        <v>-8.4108443290792412</v>
      </c>
    </row>
    <row r="31" spans="1:12" s="208" customFormat="1" ht="10" customHeight="1">
      <c r="A31" s="330" t="s">
        <v>58</v>
      </c>
      <c r="B31" s="331">
        <v>314288</v>
      </c>
      <c r="C31" s="207">
        <v>100</v>
      </c>
      <c r="D31" s="207">
        <f>(B31-281306)/281306*100</f>
        <v>11.724598835431879</v>
      </c>
      <c r="E31" s="333"/>
      <c r="F31" s="331">
        <v>311767</v>
      </c>
      <c r="G31" s="207">
        <v>100</v>
      </c>
      <c r="H31" s="207">
        <f>(F31-285128)/285128*100</f>
        <v>9.3428214696557337</v>
      </c>
      <c r="I31" s="333"/>
      <c r="J31" s="331">
        <v>277369</v>
      </c>
      <c r="K31" s="207">
        <v>100</v>
      </c>
      <c r="L31" s="207">
        <f>(J31-274512)/274512*100</f>
        <v>1.0407559596666083</v>
      </c>
    </row>
    <row r="32" spans="1:12" s="49" customFormat="1" ht="3" customHeight="1">
      <c r="A32" s="334"/>
      <c r="B32" s="335"/>
      <c r="C32" s="206"/>
      <c r="D32" s="206"/>
      <c r="E32" s="206"/>
      <c r="F32" s="206"/>
      <c r="G32" s="206"/>
      <c r="H32" s="206"/>
      <c r="I32" s="206"/>
      <c r="J32" s="206"/>
      <c r="K32" s="206"/>
      <c r="L32" s="206"/>
    </row>
    <row r="33" spans="1:12" s="49" customFormat="1" ht="10" customHeight="1">
      <c r="B33" s="624" t="s">
        <v>149</v>
      </c>
      <c r="C33" s="624"/>
      <c r="D33" s="624"/>
      <c r="E33" s="624"/>
      <c r="F33" s="624"/>
      <c r="G33" s="624"/>
      <c r="H33" s="624"/>
      <c r="I33" s="624"/>
      <c r="J33" s="624"/>
      <c r="K33" s="624"/>
      <c r="L33" s="624"/>
    </row>
    <row r="34" spans="1:12" s="49" customFormat="1" ht="3" customHeight="1">
      <c r="A34" s="334"/>
      <c r="B34" s="335"/>
      <c r="C34" s="206"/>
      <c r="D34" s="206"/>
      <c r="E34" s="206"/>
      <c r="F34" s="206"/>
      <c r="G34" s="206"/>
      <c r="H34" s="206"/>
      <c r="I34" s="206"/>
      <c r="J34" s="206"/>
      <c r="K34" s="206"/>
      <c r="L34" s="206"/>
    </row>
    <row r="35" spans="1:12" s="49" customFormat="1" ht="10" customHeight="1">
      <c r="A35" s="338" t="s">
        <v>150</v>
      </c>
      <c r="B35" s="335">
        <v>6124</v>
      </c>
      <c r="C35" s="203">
        <v>24.176865377023294</v>
      </c>
      <c r="D35" s="203">
        <f>(B35-4603)/4603*100</f>
        <v>33.043667173582449</v>
      </c>
      <c r="E35" s="206"/>
      <c r="F35" s="206">
        <v>5539</v>
      </c>
      <c r="G35" s="203">
        <v>22.923478044944751</v>
      </c>
      <c r="H35" s="203">
        <f>(F35-3878)/3878*100</f>
        <v>42.831356369262508</v>
      </c>
      <c r="I35" s="206"/>
      <c r="J35" s="340">
        <v>2004</v>
      </c>
      <c r="K35" s="203">
        <v>25.525410775697367</v>
      </c>
      <c r="L35" s="203">
        <f>(J35-1390)/1390*100</f>
        <v>44.172661870503596</v>
      </c>
    </row>
    <row r="36" spans="1:12" s="49" customFormat="1" ht="10" customHeight="1">
      <c r="A36" s="334" t="s">
        <v>151</v>
      </c>
      <c r="B36" s="335">
        <v>17588</v>
      </c>
      <c r="C36" s="203">
        <v>69.435452033162264</v>
      </c>
      <c r="D36" s="203">
        <f>(B36-15848)/15848*100</f>
        <v>10.979303382130237</v>
      </c>
      <c r="E36" s="206"/>
      <c r="F36" s="206">
        <v>17203</v>
      </c>
      <c r="G36" s="203">
        <v>71.195629681744819</v>
      </c>
      <c r="H36" s="203">
        <f>(F36-14407)/14407*100</f>
        <v>19.407232595266191</v>
      </c>
      <c r="I36" s="206"/>
      <c r="J36" s="206">
        <v>4972</v>
      </c>
      <c r="K36" s="203">
        <v>63.329512164055537</v>
      </c>
      <c r="L36" s="203">
        <f>(J36-4557)/4557*100</f>
        <v>9.1068685538731629</v>
      </c>
    </row>
    <row r="37" spans="1:12" s="49" customFormat="1" ht="10" customHeight="1">
      <c r="A37" s="341" t="s">
        <v>152</v>
      </c>
      <c r="B37" s="342">
        <v>1618</v>
      </c>
      <c r="C37" s="203">
        <v>6.3876825898144487</v>
      </c>
      <c r="D37" s="203">
        <f>(B37-1277)/1277*100</f>
        <v>26.703210649960845</v>
      </c>
      <c r="E37" s="206"/>
      <c r="F37" s="206">
        <v>1421</v>
      </c>
      <c r="G37" s="203">
        <v>5.8808922733104332</v>
      </c>
      <c r="H37" s="203">
        <f>(F37-988)/988*100</f>
        <v>43.825910931174086</v>
      </c>
      <c r="I37" s="206"/>
      <c r="J37" s="206">
        <v>875</v>
      </c>
      <c r="K37" s="203">
        <v>11.145077060247102</v>
      </c>
      <c r="L37" s="203">
        <f>(J37-601)/601*100</f>
        <v>45.590682196339429</v>
      </c>
    </row>
    <row r="38" spans="1:12" s="208" customFormat="1" ht="10" customHeight="1">
      <c r="A38" s="330" t="s">
        <v>58</v>
      </c>
      <c r="B38" s="331">
        <v>25330</v>
      </c>
      <c r="C38" s="207">
        <v>100</v>
      </c>
      <c r="D38" s="207">
        <f>(B38-21728)/21728*100</f>
        <v>16.577687776141385</v>
      </c>
      <c r="E38" s="333"/>
      <c r="F38" s="331">
        <v>24163</v>
      </c>
      <c r="G38" s="207">
        <v>100</v>
      </c>
      <c r="H38" s="207">
        <f>(F38-19273)/19273*100</f>
        <v>25.372282467700931</v>
      </c>
      <c r="I38" s="333"/>
      <c r="J38" s="331">
        <v>7851</v>
      </c>
      <c r="K38" s="207">
        <v>100</v>
      </c>
      <c r="L38" s="207">
        <f>(J38-6548)/6548*100</f>
        <v>19.899205864386072</v>
      </c>
    </row>
    <row r="39" spans="1:12" s="208" customFormat="1" ht="3" customHeight="1">
      <c r="A39" s="330"/>
      <c r="B39" s="331"/>
      <c r="C39" s="203"/>
      <c r="D39" s="339"/>
      <c r="E39" s="333"/>
      <c r="F39" s="331"/>
      <c r="G39" s="203"/>
      <c r="H39" s="339"/>
      <c r="I39" s="333"/>
      <c r="J39" s="331"/>
      <c r="K39" s="344"/>
      <c r="L39" s="339"/>
    </row>
    <row r="40" spans="1:12" s="49" customFormat="1" ht="10" customHeight="1">
      <c r="B40" s="624" t="s">
        <v>153</v>
      </c>
      <c r="C40" s="624"/>
      <c r="D40" s="624"/>
      <c r="E40" s="624"/>
      <c r="F40" s="624"/>
      <c r="G40" s="624"/>
      <c r="H40" s="624"/>
      <c r="I40" s="624"/>
      <c r="J40" s="624"/>
      <c r="K40" s="624"/>
      <c r="L40" s="624"/>
    </row>
    <row r="41" spans="1:12" s="49" customFormat="1" ht="3" customHeight="1">
      <c r="A41" s="334"/>
      <c r="B41" s="335"/>
      <c r="C41" s="206"/>
      <c r="D41" s="206"/>
      <c r="E41" s="206"/>
      <c r="F41" s="206"/>
      <c r="G41" s="206"/>
      <c r="H41" s="206"/>
      <c r="I41" s="206"/>
      <c r="J41" s="206"/>
      <c r="K41" s="206"/>
      <c r="L41" s="206"/>
    </row>
    <row r="42" spans="1:12" s="49" customFormat="1" ht="10" customHeight="1">
      <c r="A42" s="338" t="s">
        <v>150</v>
      </c>
      <c r="B42" s="335">
        <v>4967</v>
      </c>
      <c r="C42" s="203">
        <v>33.264130725957678</v>
      </c>
      <c r="D42" s="203">
        <f>(B42-3360)/3360*100</f>
        <v>47.827380952380956</v>
      </c>
      <c r="E42" s="206"/>
      <c r="F42" s="206">
        <v>100</v>
      </c>
      <c r="G42" s="203">
        <v>4.7192071731949028</v>
      </c>
      <c r="H42" s="203">
        <f>(F42-24)/24*100</f>
        <v>316.66666666666663</v>
      </c>
      <c r="I42" s="206"/>
      <c r="J42" s="206">
        <v>8725</v>
      </c>
      <c r="K42" s="203">
        <v>34.799776643267386</v>
      </c>
      <c r="L42" s="203">
        <f>(J42-3821)/3821*100</f>
        <v>128.34336561109657</v>
      </c>
    </row>
    <row r="43" spans="1:12" s="49" customFormat="1" ht="10" customHeight="1">
      <c r="A43" s="334" t="s">
        <v>151</v>
      </c>
      <c r="B43" s="335">
        <v>8976</v>
      </c>
      <c r="C43" s="203">
        <v>60.112510045539779</v>
      </c>
      <c r="D43" s="203">
        <f>(B43-7252)/7252*100</f>
        <v>23.772752344180915</v>
      </c>
      <c r="E43" s="206"/>
      <c r="F43" s="206">
        <v>1587</v>
      </c>
      <c r="G43" s="203">
        <v>74.893817838603113</v>
      </c>
      <c r="H43" s="203">
        <f>(F43-226)/226*100</f>
        <v>602.21238938053091</v>
      </c>
      <c r="I43" s="206"/>
      <c r="J43" s="206">
        <v>15327</v>
      </c>
      <c r="K43" s="203">
        <v>61.131940012763245</v>
      </c>
      <c r="L43" s="203">
        <f>(J43-7944)/7944*100</f>
        <v>92.938066465256796</v>
      </c>
    </row>
    <row r="44" spans="1:12" s="49" customFormat="1" ht="10" customHeight="1">
      <c r="A44" s="341" t="s">
        <v>152</v>
      </c>
      <c r="B44" s="335">
        <v>989</v>
      </c>
      <c r="C44" s="203">
        <v>6.6233592285025455</v>
      </c>
      <c r="D44" s="203">
        <f>(B44-592)/592*100</f>
        <v>67.060810810810807</v>
      </c>
      <c r="E44" s="206"/>
      <c r="F44" s="206">
        <v>432</v>
      </c>
      <c r="G44" s="203">
        <v>20.386974988201981</v>
      </c>
      <c r="H44" s="203">
        <f>(F44-252)/252*100</f>
        <v>71.428571428571431</v>
      </c>
      <c r="I44" s="206"/>
      <c r="J44" s="206">
        <v>1020</v>
      </c>
      <c r="K44" s="203">
        <v>4.0682833439693677</v>
      </c>
      <c r="L44" s="203">
        <f>(J44-421)/421*100</f>
        <v>142.28028503562945</v>
      </c>
    </row>
    <row r="45" spans="1:12" s="208" customFormat="1" ht="10" customHeight="1">
      <c r="A45" s="330" t="s">
        <v>58</v>
      </c>
      <c r="B45" s="331">
        <v>14932</v>
      </c>
      <c r="C45" s="207">
        <v>100</v>
      </c>
      <c r="D45" s="207">
        <f>(B45-11204)/11204*100</f>
        <v>33.273830774723315</v>
      </c>
      <c r="E45" s="333"/>
      <c r="F45" s="331">
        <v>2119</v>
      </c>
      <c r="G45" s="207">
        <v>100</v>
      </c>
      <c r="H45" s="207">
        <f>(F45-502)/502*100</f>
        <v>322.11155378486052</v>
      </c>
      <c r="I45" s="333"/>
      <c r="J45" s="331">
        <v>25072</v>
      </c>
      <c r="K45" s="207">
        <v>100</v>
      </c>
      <c r="L45" s="207">
        <f>(J45-12186)/12186*100</f>
        <v>105.744296733957</v>
      </c>
    </row>
    <row r="46" spans="1:12" s="49" customFormat="1" ht="10" customHeight="1">
      <c r="B46" s="624" t="s">
        <v>154</v>
      </c>
      <c r="C46" s="624"/>
      <c r="D46" s="624"/>
      <c r="E46" s="624"/>
      <c r="F46" s="624"/>
      <c r="G46" s="624"/>
      <c r="H46" s="624"/>
      <c r="I46" s="624"/>
      <c r="J46" s="624"/>
      <c r="K46" s="624"/>
      <c r="L46" s="624"/>
    </row>
    <row r="47" spans="1:12" s="49" customFormat="1" ht="3" customHeight="1">
      <c r="A47" s="334"/>
      <c r="B47" s="335"/>
      <c r="C47" s="206"/>
      <c r="D47" s="206"/>
      <c r="E47" s="206"/>
      <c r="F47" s="206"/>
      <c r="G47" s="206"/>
      <c r="H47" s="206"/>
      <c r="I47" s="206"/>
      <c r="J47" s="206"/>
      <c r="K47" s="206"/>
      <c r="L47" s="206"/>
    </row>
    <row r="48" spans="1:12" s="49" customFormat="1" ht="10" customHeight="1">
      <c r="A48" s="334" t="s">
        <v>155</v>
      </c>
      <c r="B48" s="335">
        <v>43</v>
      </c>
      <c r="C48" s="203">
        <v>45.744680851063826</v>
      </c>
      <c r="D48" s="203">
        <f>(B48-92)/92*100</f>
        <v>-53.260869565217398</v>
      </c>
      <c r="E48" s="206"/>
      <c r="F48" s="206">
        <v>172</v>
      </c>
      <c r="G48" s="203">
        <v>1.3106759125200029</v>
      </c>
      <c r="H48" s="203">
        <f>(F48-1230)/1230*100</f>
        <v>-86.016260162601625</v>
      </c>
      <c r="I48" s="206"/>
      <c r="J48" s="206">
        <v>365</v>
      </c>
      <c r="K48" s="203">
        <v>0.85310272291691025</v>
      </c>
      <c r="L48" s="203">
        <f>(J48-502)/502*100</f>
        <v>-27.290836653386453</v>
      </c>
    </row>
    <row r="49" spans="1:12" s="49" customFormat="1" ht="10" customHeight="1">
      <c r="A49" s="334" t="s">
        <v>156</v>
      </c>
      <c r="B49" s="335">
        <v>47</v>
      </c>
      <c r="C49" s="203">
        <v>50</v>
      </c>
      <c r="D49" s="203">
        <f>(B49-462)/462*100</f>
        <v>-89.826839826839816</v>
      </c>
      <c r="E49" s="206"/>
      <c r="F49" s="206">
        <v>11524</v>
      </c>
      <c r="G49" s="203">
        <v>87.815286138840207</v>
      </c>
      <c r="H49" s="203">
        <f>(F49-13874)/13874*100</f>
        <v>-16.938157705059826</v>
      </c>
      <c r="I49" s="206"/>
      <c r="J49" s="206">
        <v>38833</v>
      </c>
      <c r="K49" s="203">
        <v>90.763117915157181</v>
      </c>
      <c r="L49" s="203">
        <f>(J49-50181)/50181*100</f>
        <v>-22.614136824694604</v>
      </c>
    </row>
    <row r="50" spans="1:12" s="49" customFormat="1" ht="10" customHeight="1">
      <c r="A50" s="341" t="s">
        <v>152</v>
      </c>
      <c r="B50" s="342">
        <v>4</v>
      </c>
      <c r="C50" s="203">
        <v>4.2553191489361701</v>
      </c>
      <c r="D50" s="203">
        <f>(B50-116)/116*100</f>
        <v>-96.551724137931032</v>
      </c>
      <c r="E50" s="206"/>
      <c r="F50" s="206">
        <v>1427</v>
      </c>
      <c r="G50" s="203">
        <v>10.874037948639794</v>
      </c>
      <c r="H50" s="203">
        <f>(F50-1674)/1674*100</f>
        <v>-14.755077658303465</v>
      </c>
      <c r="I50" s="206"/>
      <c r="J50" s="206">
        <v>3587</v>
      </c>
      <c r="K50" s="203">
        <v>8.3837793619259084</v>
      </c>
      <c r="L50" s="203">
        <f>(J50-3994)/3994*100</f>
        <v>-10.190285428142214</v>
      </c>
    </row>
    <row r="51" spans="1:12" s="208" customFormat="1" ht="10" customHeight="1">
      <c r="A51" s="330" t="s">
        <v>58</v>
      </c>
      <c r="B51" s="331">
        <v>94</v>
      </c>
      <c r="C51" s="207">
        <v>100</v>
      </c>
      <c r="D51" s="207">
        <f>(B51-670)/670*100</f>
        <v>-85.970149253731336</v>
      </c>
      <c r="E51" s="333"/>
      <c r="F51" s="331">
        <v>13123</v>
      </c>
      <c r="G51" s="207">
        <v>100</v>
      </c>
      <c r="H51" s="207">
        <f>(F51-16778)/16778*100</f>
        <v>-21.784479675765883</v>
      </c>
      <c r="I51" s="333"/>
      <c r="J51" s="331">
        <v>42785</v>
      </c>
      <c r="K51" s="207">
        <v>100</v>
      </c>
      <c r="L51" s="207">
        <f>(J51-54677)/54677*100</f>
        <v>-21.749547341661028</v>
      </c>
    </row>
    <row r="52" spans="1:12" s="49" customFormat="1" ht="3" customHeight="1">
      <c r="A52" s="334"/>
      <c r="B52" s="335"/>
      <c r="C52" s="206"/>
      <c r="D52" s="206"/>
      <c r="E52" s="206"/>
      <c r="F52" s="206"/>
      <c r="G52" s="206"/>
      <c r="H52" s="206"/>
      <c r="I52" s="206"/>
      <c r="J52" s="206"/>
      <c r="K52" s="206"/>
      <c r="L52" s="206"/>
    </row>
    <row r="53" spans="1:12" s="49" customFormat="1" ht="10" customHeight="1">
      <c r="B53" s="623" t="s">
        <v>157</v>
      </c>
      <c r="C53" s="623"/>
      <c r="D53" s="623"/>
      <c r="E53" s="623"/>
      <c r="F53" s="623"/>
      <c r="G53" s="623"/>
      <c r="H53" s="623"/>
      <c r="I53" s="623"/>
      <c r="J53" s="623"/>
      <c r="K53" s="623"/>
      <c r="L53" s="623"/>
    </row>
    <row r="54" spans="1:12" s="49" customFormat="1" ht="3" customHeight="1">
      <c r="A54" s="334"/>
      <c r="B54" s="335"/>
      <c r="C54" s="206"/>
      <c r="D54" s="206"/>
      <c r="E54" s="206"/>
      <c r="F54" s="206"/>
      <c r="G54" s="206"/>
      <c r="H54" s="206"/>
      <c r="I54" s="206"/>
      <c r="J54" s="206"/>
      <c r="K54" s="206"/>
      <c r="L54" s="206"/>
    </row>
    <row r="55" spans="1:12" s="49" customFormat="1" ht="10" customHeight="1">
      <c r="A55" s="334" t="s">
        <v>158</v>
      </c>
      <c r="B55" s="335">
        <v>40042</v>
      </c>
      <c r="C55" s="203">
        <v>12.749549457757286</v>
      </c>
      <c r="D55" s="203">
        <f>(B55-39033)/39033*100</f>
        <v>2.5849921860989422</v>
      </c>
      <c r="E55" s="206"/>
      <c r="F55" s="206">
        <v>59860</v>
      </c>
      <c r="G55" s="203">
        <v>18.661404312760897</v>
      </c>
      <c r="H55" s="203">
        <f>(F55-66423)/66423*100</f>
        <v>-9.8806136428646703</v>
      </c>
      <c r="I55" s="206"/>
      <c r="J55" s="206">
        <v>105566</v>
      </c>
      <c r="K55" s="203">
        <v>38.702463310639637</v>
      </c>
      <c r="L55" s="203">
        <f>(J55-120661)/120661*100</f>
        <v>-12.510256006497542</v>
      </c>
    </row>
    <row r="56" spans="1:12" s="49" customFormat="1" ht="10" customHeight="1">
      <c r="A56" s="334" t="s">
        <v>159</v>
      </c>
      <c r="B56" s="335">
        <v>274024</v>
      </c>
      <c r="C56" s="203">
        <v>87.250450542242703</v>
      </c>
      <c r="D56" s="203">
        <f>(B56-249431)/249431*100</f>
        <v>9.8596405418733024</v>
      </c>
      <c r="E56" s="206"/>
      <c r="F56" s="206">
        <v>260909</v>
      </c>
      <c r="G56" s="203">
        <v>81.338595687239106</v>
      </c>
      <c r="H56" s="203">
        <f>(F56-256815)/256815*100</f>
        <v>1.5941436442575396</v>
      </c>
      <c r="I56" s="206"/>
      <c r="J56" s="206">
        <v>167197</v>
      </c>
      <c r="K56" s="203">
        <v>61.297536689360363</v>
      </c>
      <c r="L56" s="203">
        <f>(J56-148837)/148837*100</f>
        <v>12.33564234699705</v>
      </c>
    </row>
    <row r="57" spans="1:12" s="208" customFormat="1" ht="10" customHeight="1">
      <c r="A57" s="330" t="s">
        <v>160</v>
      </c>
      <c r="B57" s="331">
        <v>314066</v>
      </c>
      <c r="C57" s="207">
        <v>100</v>
      </c>
      <c r="D57" s="207">
        <f>(B57-288464)/288464*100</f>
        <v>8.8752842642409462</v>
      </c>
      <c r="E57" s="333"/>
      <c r="F57" s="331">
        <v>320769</v>
      </c>
      <c r="G57" s="207">
        <v>100</v>
      </c>
      <c r="H57" s="207">
        <f>(F57-323238)/323238*100</f>
        <v>-0.76383346017485565</v>
      </c>
      <c r="I57" s="333"/>
      <c r="J57" s="331">
        <v>272763</v>
      </c>
      <c r="K57" s="207">
        <v>100</v>
      </c>
      <c r="L57" s="207">
        <f>(J57-269498)/269498*100</f>
        <v>1.2115117737422914</v>
      </c>
    </row>
    <row r="58" spans="1:12" s="49" customFormat="1" ht="3" customHeight="1">
      <c r="A58" s="334"/>
      <c r="B58" s="335"/>
      <c r="C58" s="206"/>
      <c r="D58" s="206"/>
      <c r="E58" s="206"/>
      <c r="F58" s="206"/>
      <c r="G58" s="206"/>
      <c r="H58" s="206"/>
      <c r="I58" s="206"/>
      <c r="J58" s="206"/>
      <c r="K58" s="206"/>
      <c r="L58" s="206"/>
    </row>
    <row r="59" spans="1:12" s="49" customFormat="1" ht="10" customHeight="1">
      <c r="B59" s="625" t="s">
        <v>161</v>
      </c>
      <c r="C59" s="625"/>
      <c r="D59" s="625"/>
      <c r="E59" s="625"/>
      <c r="F59" s="625"/>
      <c r="G59" s="625"/>
      <c r="H59" s="625"/>
      <c r="I59" s="625"/>
      <c r="J59" s="625"/>
      <c r="K59" s="625"/>
      <c r="L59" s="625"/>
    </row>
    <row r="60" spans="1:12" s="49" customFormat="1" ht="4" customHeight="1">
      <c r="A60" s="334"/>
      <c r="B60" s="335"/>
      <c r="C60" s="206"/>
      <c r="D60" s="206"/>
      <c r="E60" s="206"/>
      <c r="F60" s="206"/>
      <c r="G60" s="206"/>
      <c r="H60" s="206"/>
      <c r="I60" s="206"/>
      <c r="J60" s="206"/>
      <c r="K60" s="206"/>
      <c r="L60" s="206"/>
    </row>
    <row r="61" spans="1:12" s="49" customFormat="1" ht="10" customHeight="1">
      <c r="A61" s="338" t="s">
        <v>162</v>
      </c>
      <c r="B61" s="345">
        <v>320690</v>
      </c>
      <c r="C61" s="203">
        <v>100</v>
      </c>
      <c r="D61" s="203">
        <f>(B61-328796)/328796*100</f>
        <v>-2.4653584593486539</v>
      </c>
      <c r="E61" s="206"/>
      <c r="F61" s="206">
        <v>318355</v>
      </c>
      <c r="G61" s="203">
        <v>100</v>
      </c>
      <c r="H61" s="203">
        <f>(F61-338792)/338792*100</f>
        <v>-6.0323148126283979</v>
      </c>
      <c r="I61" s="206"/>
      <c r="J61" s="206">
        <v>64462</v>
      </c>
      <c r="K61" s="203">
        <v>100</v>
      </c>
      <c r="L61" s="203">
        <f>(J61-62068)/62068*100</f>
        <v>3.8570599987110912</v>
      </c>
    </row>
    <row r="62" spans="1:12" s="208" customFormat="1" ht="10" customHeight="1">
      <c r="A62" s="330" t="s">
        <v>58</v>
      </c>
      <c r="B62" s="331">
        <v>320690</v>
      </c>
      <c r="C62" s="207">
        <v>100</v>
      </c>
      <c r="D62" s="203">
        <f>(B62-328796)/328796*100</f>
        <v>-2.4653584593486539</v>
      </c>
      <c r="E62" s="333"/>
      <c r="F62" s="331">
        <v>318355</v>
      </c>
      <c r="G62" s="207">
        <v>100</v>
      </c>
      <c r="H62" s="203">
        <f>(F62-338792)/338792*100</f>
        <v>-6.0323148126283979</v>
      </c>
      <c r="I62" s="333"/>
      <c r="J62" s="331">
        <v>64462</v>
      </c>
      <c r="K62" s="207">
        <v>100</v>
      </c>
      <c r="L62" s="203">
        <f>(J62-62068)/62068*100</f>
        <v>3.8570599987110912</v>
      </c>
    </row>
    <row r="63" spans="1:12" s="208" customFormat="1" ht="10" customHeight="1">
      <c r="A63" s="330"/>
      <c r="B63" s="331"/>
      <c r="C63" s="207"/>
      <c r="D63" s="207"/>
      <c r="E63" s="333"/>
      <c r="F63" s="331"/>
      <c r="G63" s="207"/>
      <c r="H63" s="207"/>
      <c r="I63" s="333"/>
      <c r="J63" s="331"/>
      <c r="K63" s="207"/>
      <c r="L63" s="207"/>
    </row>
    <row r="64" spans="1:12" s="208" customFormat="1" ht="10" customHeight="1">
      <c r="A64" s="338" t="s">
        <v>163</v>
      </c>
      <c r="B64" s="331">
        <v>474463</v>
      </c>
      <c r="C64" s="207">
        <v>100</v>
      </c>
      <c r="D64" s="343">
        <f>(B64-414163)/414163*100</f>
        <v>14.559485033670319</v>
      </c>
      <c r="E64" s="333"/>
      <c r="F64" s="331">
        <v>455855</v>
      </c>
      <c r="G64" s="207">
        <v>100</v>
      </c>
      <c r="H64" s="343">
        <f>(F64-427847)/427847*100</f>
        <v>6.5462653705647105</v>
      </c>
      <c r="I64" s="333"/>
      <c r="J64" s="331">
        <v>199765</v>
      </c>
      <c r="K64" s="207">
        <v>100</v>
      </c>
      <c r="L64" s="343">
        <f>(J64-183999)/183999*100</f>
        <v>8.568524828939287</v>
      </c>
    </row>
    <row r="65" spans="1:12" s="49" customFormat="1" ht="8.15" customHeight="1">
      <c r="A65" s="334"/>
      <c r="B65" s="335"/>
      <c r="C65" s="206"/>
      <c r="D65" s="206"/>
      <c r="E65" s="206"/>
      <c r="F65" s="206"/>
      <c r="G65" s="206"/>
      <c r="H65" s="206"/>
      <c r="I65" s="206"/>
      <c r="J65" s="206"/>
      <c r="K65" s="346"/>
      <c r="L65" s="346"/>
    </row>
    <row r="66" spans="1:12" s="49" customFormat="1" ht="10" customHeight="1">
      <c r="B66" s="623" t="s">
        <v>164</v>
      </c>
      <c r="C66" s="623"/>
      <c r="D66" s="623"/>
      <c r="E66" s="623"/>
      <c r="F66" s="623"/>
      <c r="G66" s="623"/>
      <c r="H66" s="623"/>
      <c r="I66" s="623"/>
      <c r="J66" s="623"/>
      <c r="K66" s="623"/>
      <c r="L66" s="623"/>
    </row>
    <row r="67" spans="1:12" s="49" customFormat="1" ht="8.15" customHeight="1">
      <c r="A67" s="334"/>
      <c r="B67" s="335"/>
      <c r="C67" s="206"/>
      <c r="D67" s="206"/>
      <c r="E67" s="206"/>
      <c r="F67" s="206"/>
      <c r="G67" s="206"/>
      <c r="H67" s="206"/>
      <c r="I67" s="206"/>
      <c r="J67" s="206"/>
      <c r="K67" s="206"/>
      <c r="L67" s="206"/>
    </row>
    <row r="68" spans="1:12" s="49" customFormat="1" ht="10" customHeight="1">
      <c r="A68" s="334" t="s">
        <v>165</v>
      </c>
      <c r="B68" s="335">
        <v>7619</v>
      </c>
      <c r="C68" s="203">
        <v>2.3876003973588795</v>
      </c>
      <c r="D68" s="203">
        <f>(B68-8283)/8283*100</f>
        <v>-8.0164191717976578</v>
      </c>
      <c r="E68" s="206"/>
      <c r="F68" s="206">
        <v>11810</v>
      </c>
      <c r="G68" s="203">
        <v>3.6954290577751077</v>
      </c>
      <c r="H68" s="203">
        <f>(F68-15514)/15514*100</f>
        <v>-23.875209488204202</v>
      </c>
      <c r="I68" s="206"/>
      <c r="J68" s="206">
        <v>112905</v>
      </c>
      <c r="K68" s="203">
        <v>21.783043548723171</v>
      </c>
      <c r="L68" s="203">
        <f>(J68-117854)/117854*100</f>
        <v>-4.1992634955113957</v>
      </c>
    </row>
    <row r="69" spans="1:12" s="49" customFormat="1" ht="10" customHeight="1">
      <c r="A69" s="334" t="s">
        <v>166</v>
      </c>
      <c r="B69" s="335">
        <v>50</v>
      </c>
      <c r="C69" s="203">
        <v>1.5668725537202256E-2</v>
      </c>
      <c r="D69" s="203">
        <f>(B69-38)/38*100</f>
        <v>31.578947368421051</v>
      </c>
      <c r="E69" s="206"/>
      <c r="F69" s="206">
        <v>388</v>
      </c>
      <c r="G69" s="203">
        <v>0.121407830179233</v>
      </c>
      <c r="H69" s="203">
        <f>(F69-622)/622*100</f>
        <v>-37.620578778135048</v>
      </c>
      <c r="I69" s="206"/>
      <c r="J69" s="206">
        <v>4956</v>
      </c>
      <c r="K69" s="203">
        <v>0.95617345403190335</v>
      </c>
      <c r="L69" s="203">
        <f>(J69-5313)/5313*100</f>
        <v>-6.7193675889328066</v>
      </c>
    </row>
    <row r="70" spans="1:12" s="49" customFormat="1" ht="10" customHeight="1">
      <c r="A70" s="334" t="s">
        <v>167</v>
      </c>
      <c r="B70" s="335">
        <v>3379</v>
      </c>
      <c r="C70" s="203">
        <v>1.0588924718041284</v>
      </c>
      <c r="D70" s="203">
        <f>(B70-3103)/3103*100</f>
        <v>8.8946181115049949</v>
      </c>
      <c r="E70" s="206"/>
      <c r="F70" s="206">
        <v>3200</v>
      </c>
      <c r="G70" s="203">
        <v>1.0013016921998599</v>
      </c>
      <c r="H70" s="203">
        <f>(F70-3045)/3045*100</f>
        <v>5.0903119868637114</v>
      </c>
      <c r="I70" s="206"/>
      <c r="J70" s="206">
        <v>12892</v>
      </c>
      <c r="K70" s="203">
        <v>2.4872857484623281</v>
      </c>
      <c r="L70" s="203">
        <f>(J70-12497)/12497*100</f>
        <v>3.1607585820596946</v>
      </c>
    </row>
    <row r="71" spans="1:12" s="49" customFormat="1" ht="10" customHeight="1">
      <c r="A71" s="338" t="s">
        <v>168</v>
      </c>
      <c r="B71" s="345">
        <v>1470</v>
      </c>
      <c r="C71" s="203">
        <v>0.46066053079374625</v>
      </c>
      <c r="D71" s="203">
        <f>(B71-1612)/1612*100</f>
        <v>-8.808933002481389</v>
      </c>
      <c r="E71" s="206"/>
      <c r="F71" s="206">
        <v>1562</v>
      </c>
      <c r="G71" s="203">
        <v>0.4887603885050566</v>
      </c>
      <c r="H71" s="203">
        <f>(F71-1933)/1933*100</f>
        <v>-19.192964304190376</v>
      </c>
      <c r="I71" s="206"/>
      <c r="J71" s="206">
        <v>890</v>
      </c>
      <c r="K71" s="203">
        <v>0.17170992213244432</v>
      </c>
      <c r="L71" s="203">
        <f>(J71-988)/988*100</f>
        <v>-9.9190283400809722</v>
      </c>
    </row>
    <row r="72" spans="1:12" s="49" customFormat="1" ht="10" customHeight="1">
      <c r="A72" s="334" t="s">
        <v>169</v>
      </c>
      <c r="B72" s="335">
        <v>61703</v>
      </c>
      <c r="C72" s="203">
        <v>19.336147436439816</v>
      </c>
      <c r="D72" s="203">
        <f>(B72-58486)/58486*100</f>
        <v>5.5004616489416271</v>
      </c>
      <c r="E72" s="206"/>
      <c r="F72" s="206">
        <v>50639</v>
      </c>
      <c r="G72" s="203">
        <v>15.845286372283971</v>
      </c>
      <c r="H72" s="203">
        <f>(F72-50777)/50777*100</f>
        <v>-0.27177659176398766</v>
      </c>
      <c r="I72" s="206"/>
      <c r="J72" s="206">
        <v>341985</v>
      </c>
      <c r="K72" s="203">
        <v>65.980019910633672</v>
      </c>
      <c r="L72" s="203">
        <f>(J72-331288)/331288*100</f>
        <v>3.2289126077612229</v>
      </c>
    </row>
    <row r="73" spans="1:12" s="49" customFormat="1" ht="10" customHeight="1">
      <c r="A73" s="161" t="s">
        <v>170</v>
      </c>
      <c r="B73" s="206">
        <v>67386</v>
      </c>
      <c r="C73" s="203">
        <v>21.117054780998224</v>
      </c>
      <c r="D73" s="203">
        <f>(B73-66467)/66467*100</f>
        <v>1.3826410098244242</v>
      </c>
      <c r="E73" s="206"/>
      <c r="F73" s="206">
        <v>67839</v>
      </c>
      <c r="G73" s="203">
        <v>21.227282967858216</v>
      </c>
      <c r="H73" s="203">
        <f>(F73-68306)/68306*100</f>
        <v>-0.6836881093900975</v>
      </c>
      <c r="I73" s="206"/>
      <c r="J73" s="206">
        <v>7269</v>
      </c>
      <c r="K73" s="203">
        <v>1.4024263190794803</v>
      </c>
      <c r="L73" s="203">
        <f>(J73-5112)/5112*100</f>
        <v>42.194835680751176</v>
      </c>
    </row>
    <row r="74" spans="1:12" s="49" customFormat="1" ht="20.25" customHeight="1">
      <c r="A74" s="329" t="s">
        <v>171</v>
      </c>
      <c r="B74" s="206">
        <v>177500</v>
      </c>
      <c r="C74" s="203">
        <v>55.623975657068002</v>
      </c>
      <c r="D74" s="203">
        <f>(B74-208189)/208189*100</f>
        <v>-14.740932518048504</v>
      </c>
      <c r="E74" s="206"/>
      <c r="F74" s="206">
        <v>184146</v>
      </c>
      <c r="G74" s="203">
        <v>57.620531691198565</v>
      </c>
      <c r="H74" s="203">
        <f>(F74-226440)/226440*100</f>
        <v>-18.677795442501324</v>
      </c>
      <c r="I74" s="206"/>
      <c r="J74" s="206">
        <v>37419</v>
      </c>
      <c r="K74" s="203">
        <v>7.2193410969370042</v>
      </c>
      <c r="L74" s="203">
        <f>(J74-46199)/46199*100</f>
        <v>-19.004740362345505</v>
      </c>
    </row>
    <row r="75" spans="1:12" s="208" customFormat="1" ht="10" customHeight="1">
      <c r="A75" s="285" t="s">
        <v>58</v>
      </c>
      <c r="B75" s="347">
        <f>SUM(B68:B74)</f>
        <v>319107</v>
      </c>
      <c r="C75" s="207">
        <v>100</v>
      </c>
      <c r="D75" s="203">
        <f>(B75-346178)/346178*100</f>
        <v>-7.8199654512996206</v>
      </c>
      <c r="E75" s="333"/>
      <c r="F75" s="347">
        <f>SUM(F68:F74)</f>
        <v>319584</v>
      </c>
      <c r="G75" s="207">
        <v>100</v>
      </c>
      <c r="H75" s="203">
        <f>(F75-365692)/365692*100</f>
        <v>-12.608424575872593</v>
      </c>
      <c r="I75" s="333"/>
      <c r="J75" s="347">
        <f>SUM(J68:J74)</f>
        <v>518316</v>
      </c>
      <c r="K75" s="207">
        <v>100</v>
      </c>
      <c r="L75" s="203">
        <f>(J75-520196)/520196*100</f>
        <v>-0.36140224069389226</v>
      </c>
    </row>
    <row r="76" spans="1:12" s="49" customFormat="1" ht="10" customHeight="1">
      <c r="A76" s="161"/>
      <c r="B76" s="346"/>
      <c r="C76" s="206"/>
      <c r="D76" s="206"/>
      <c r="E76" s="206"/>
      <c r="F76" s="206"/>
      <c r="G76" s="206"/>
      <c r="H76" s="206"/>
      <c r="I76" s="206"/>
      <c r="J76" s="206"/>
      <c r="K76" s="206"/>
      <c r="L76" s="206"/>
    </row>
    <row r="77" spans="1:12" s="208" customFormat="1" ht="10" customHeight="1">
      <c r="A77" s="285" t="s">
        <v>172</v>
      </c>
      <c r="B77" s="333">
        <v>2241553</v>
      </c>
      <c r="C77" s="207">
        <v>100</v>
      </c>
      <c r="D77" s="207">
        <f>(B77-2099907)/2099907*100</f>
        <v>6.7453463415284576</v>
      </c>
      <c r="E77" s="333"/>
      <c r="F77" s="333">
        <v>2222994</v>
      </c>
      <c r="G77" s="207">
        <v>100</v>
      </c>
      <c r="H77" s="207">
        <f>(F77-2271640)/2271640*100</f>
        <v>-2.1414484689475448</v>
      </c>
      <c r="I77" s="333"/>
      <c r="J77" s="333">
        <v>2208809</v>
      </c>
      <c r="K77" s="207">
        <v>100</v>
      </c>
      <c r="L77" s="207">
        <f>(J77-2176489)/2176489*100</f>
        <v>1.484960411010577</v>
      </c>
    </row>
    <row r="78" spans="1:12" s="208" customFormat="1" ht="10" customHeight="1">
      <c r="A78" s="161" t="s">
        <v>173</v>
      </c>
      <c r="B78" s="206">
        <v>730638</v>
      </c>
      <c r="C78" s="203">
        <f>B78/$B$77*100</f>
        <v>32.595169509710452</v>
      </c>
      <c r="D78" s="207">
        <f>(B78-647318)/647318*100</f>
        <v>12.871571623220735</v>
      </c>
      <c r="E78" s="206"/>
      <c r="F78" s="206">
        <v>726973</v>
      </c>
      <c r="G78" s="203">
        <f>F78/$F$77*100</f>
        <v>32.702427446947674</v>
      </c>
      <c r="H78" s="207">
        <f>(F78-726964)/726964*100</f>
        <v>1.2380255418425123E-3</v>
      </c>
      <c r="I78" s="206"/>
      <c r="J78" s="206">
        <v>1068574</v>
      </c>
      <c r="K78" s="203">
        <f>J78/$J$77*100</f>
        <v>48.377836200413888</v>
      </c>
      <c r="L78" s="207">
        <f>(J78-1060713)/1060713*100</f>
        <v>0.74110527541380178</v>
      </c>
    </row>
    <row r="79" spans="1:12" s="208" customFormat="1" ht="10" customHeight="1">
      <c r="A79" s="161" t="s">
        <v>174</v>
      </c>
      <c r="B79" s="206">
        <v>1196849</v>
      </c>
      <c r="C79" s="203">
        <f>B79/$B$77*100</f>
        <v>53.393740857343097</v>
      </c>
      <c r="D79" s="207">
        <f>(B79-1164125)/1164125*100</f>
        <v>2.8110383335122946</v>
      </c>
      <c r="E79" s="206"/>
      <c r="F79" s="206">
        <v>1175252</v>
      </c>
      <c r="G79" s="203">
        <f>F79/$F$77*100</f>
        <v>52.867978950910341</v>
      </c>
      <c r="H79" s="207">
        <f>(F79-1221438)/1221438*100</f>
        <v>-3.7812807526865875</v>
      </c>
      <c r="I79" s="206"/>
      <c r="J79" s="206">
        <v>867472</v>
      </c>
      <c r="K79" s="203">
        <f>J79/$J$77*100</f>
        <v>39.27329162458139</v>
      </c>
      <c r="L79" s="207">
        <f>(J79-846278)/846278*100</f>
        <v>2.5043779939925179</v>
      </c>
    </row>
    <row r="80" spans="1:12" s="210" customFormat="1" ht="10" customHeight="1">
      <c r="A80" s="193"/>
      <c r="B80" s="193"/>
      <c r="C80" s="348"/>
      <c r="D80" s="193"/>
      <c r="E80" s="193"/>
      <c r="F80" s="193"/>
      <c r="G80" s="193"/>
      <c r="H80" s="193"/>
      <c r="I80" s="193"/>
      <c r="J80" s="193"/>
      <c r="K80" s="209"/>
      <c r="L80" s="209"/>
    </row>
    <row r="81" spans="1:12" s="210" customFormat="1" ht="3" customHeight="1">
      <c r="A81" s="49"/>
      <c r="B81" s="49"/>
      <c r="C81"/>
      <c r="D81" s="49"/>
      <c r="E81" s="49"/>
      <c r="F81" s="49"/>
      <c r="G81" s="49"/>
      <c r="H81" s="49"/>
      <c r="I81" s="49"/>
      <c r="J81" s="49"/>
      <c r="K81" s="349"/>
      <c r="L81" s="349"/>
    </row>
    <row r="82" spans="1:12" ht="13" customHeight="1">
      <c r="A82" s="622" t="s">
        <v>175</v>
      </c>
      <c r="B82" s="622"/>
      <c r="C82" s="622"/>
      <c r="D82" s="622"/>
      <c r="E82" s="622"/>
      <c r="F82" s="622"/>
      <c r="G82" s="622"/>
      <c r="H82" s="622"/>
      <c r="I82" s="622"/>
      <c r="J82" s="622"/>
      <c r="K82" s="622"/>
      <c r="L82" s="622"/>
    </row>
    <row r="83" spans="1:12" ht="13" customHeight="1">
      <c r="A83" s="622" t="s">
        <v>176</v>
      </c>
      <c r="B83" s="622"/>
      <c r="C83" s="622"/>
      <c r="D83" s="622"/>
      <c r="E83" s="622"/>
      <c r="F83" s="622"/>
      <c r="G83" s="622"/>
      <c r="H83" s="622"/>
      <c r="I83" s="622"/>
      <c r="J83" s="622"/>
      <c r="K83" s="622"/>
      <c r="L83" s="622"/>
    </row>
    <row r="84" spans="1:12" ht="32.15" customHeight="1">
      <c r="A84" s="602" t="s">
        <v>177</v>
      </c>
      <c r="B84" s="602"/>
      <c r="C84" s="602"/>
      <c r="D84" s="602"/>
      <c r="E84" s="602"/>
      <c r="F84" s="602"/>
      <c r="G84" s="602"/>
      <c r="H84" s="602"/>
      <c r="I84" s="602"/>
      <c r="J84" s="602"/>
      <c r="K84" s="602"/>
      <c r="L84" s="602"/>
    </row>
    <row r="85" spans="1:12" ht="28.5" customHeight="1">
      <c r="A85" s="602" t="s">
        <v>178</v>
      </c>
      <c r="B85" s="602"/>
      <c r="C85" s="602"/>
      <c r="D85" s="602"/>
      <c r="E85" s="602"/>
      <c r="F85" s="602"/>
      <c r="G85" s="602"/>
      <c r="H85" s="602"/>
      <c r="I85" s="602"/>
      <c r="J85" s="602"/>
      <c r="K85" s="602"/>
      <c r="L85" s="602"/>
    </row>
    <row r="86" spans="1:12" ht="23.25" customHeight="1">
      <c r="A86" s="622" t="s">
        <v>179</v>
      </c>
      <c r="B86" s="622"/>
      <c r="C86" s="622"/>
      <c r="D86" s="622"/>
      <c r="E86" s="622"/>
      <c r="F86" s="622"/>
      <c r="G86" s="622"/>
      <c r="H86" s="622"/>
      <c r="I86" s="622"/>
      <c r="J86" s="622"/>
      <c r="K86" s="622"/>
      <c r="L86" s="622"/>
    </row>
    <row r="87" spans="1:12" ht="20.25" customHeight="1">
      <c r="A87" s="622" t="s">
        <v>180</v>
      </c>
      <c r="B87" s="622"/>
      <c r="C87" s="622"/>
      <c r="D87" s="622"/>
      <c r="E87" s="622"/>
      <c r="F87" s="622"/>
      <c r="G87" s="622"/>
      <c r="H87" s="622"/>
      <c r="I87" s="622"/>
      <c r="J87" s="622"/>
      <c r="K87" s="622"/>
      <c r="L87" s="622"/>
    </row>
    <row r="88" spans="1:12" ht="15" customHeight="1">
      <c r="A88" s="498" t="s">
        <v>181</v>
      </c>
      <c r="B88" s="490"/>
      <c r="C88" s="490"/>
      <c r="D88" s="490"/>
      <c r="E88" s="490"/>
      <c r="F88" s="490"/>
      <c r="G88" s="490"/>
      <c r="H88" s="490"/>
      <c r="I88" s="490"/>
      <c r="J88" s="490"/>
      <c r="K88" s="490"/>
      <c r="L88" s="490"/>
    </row>
    <row r="89" spans="1:12" ht="13.5" customHeight="1">
      <c r="A89" s="622" t="s">
        <v>182</v>
      </c>
      <c r="B89" s="622"/>
      <c r="C89" s="622"/>
      <c r="D89" s="622"/>
      <c r="E89" s="622"/>
      <c r="F89" s="622"/>
      <c r="G89" s="622"/>
      <c r="H89" s="622"/>
      <c r="I89" s="622"/>
      <c r="J89" s="622"/>
      <c r="K89" s="622"/>
      <c r="L89" s="622"/>
    </row>
    <row r="90" spans="1:12" ht="20.149999999999999" customHeight="1">
      <c r="A90" s="622" t="s">
        <v>183</v>
      </c>
      <c r="B90" s="622"/>
      <c r="C90" s="622"/>
      <c r="D90" s="622"/>
      <c r="E90" s="622"/>
      <c r="F90" s="622"/>
      <c r="G90" s="622"/>
      <c r="H90" s="622"/>
      <c r="I90" s="622"/>
      <c r="J90" s="622"/>
      <c r="K90" s="622"/>
      <c r="L90" s="622"/>
    </row>
    <row r="91" spans="1:12" ht="15" customHeight="1">
      <c r="A91" s="622" t="s">
        <v>184</v>
      </c>
      <c r="B91" s="622"/>
      <c r="C91" s="622"/>
      <c r="D91" s="622"/>
      <c r="E91" s="622"/>
      <c r="F91" s="622"/>
      <c r="G91" s="622"/>
      <c r="H91" s="622"/>
      <c r="I91" s="622"/>
      <c r="J91" s="622"/>
      <c r="K91" s="622"/>
      <c r="L91" s="622"/>
    </row>
    <row r="92" spans="1:12" s="502" customFormat="1" ht="39.75" customHeight="1">
      <c r="A92" s="621" t="s">
        <v>185</v>
      </c>
      <c r="B92" s="621"/>
      <c r="C92" s="621"/>
      <c r="D92" s="621"/>
      <c r="E92" s="621"/>
      <c r="F92" s="621"/>
      <c r="G92" s="621"/>
      <c r="H92" s="621"/>
      <c r="I92" s="621"/>
      <c r="J92" s="621"/>
      <c r="K92" s="621"/>
      <c r="L92" s="621"/>
    </row>
    <row r="93" spans="1:12" s="502" customFormat="1" ht="21.75" customHeight="1">
      <c r="A93" s="621" t="s">
        <v>186</v>
      </c>
      <c r="B93" s="621"/>
      <c r="C93" s="621"/>
      <c r="D93" s="621"/>
      <c r="E93" s="621"/>
      <c r="F93" s="621"/>
      <c r="G93" s="621"/>
      <c r="H93" s="621"/>
      <c r="I93" s="621"/>
      <c r="J93" s="621"/>
      <c r="K93" s="621"/>
      <c r="L93" s="621"/>
    </row>
    <row r="94" spans="1:12" s="502" customFormat="1" ht="23.25" customHeight="1">
      <c r="A94" s="621" t="s">
        <v>187</v>
      </c>
      <c r="B94" s="621"/>
      <c r="C94" s="621"/>
      <c r="D94" s="621"/>
      <c r="E94" s="621"/>
      <c r="F94" s="621"/>
      <c r="G94" s="621"/>
      <c r="H94" s="621"/>
      <c r="I94" s="621"/>
      <c r="J94" s="621"/>
      <c r="K94" s="621"/>
      <c r="L94" s="621"/>
    </row>
    <row r="95" spans="1:12" ht="36" customHeight="1">
      <c r="A95" s="622" t="s">
        <v>188</v>
      </c>
      <c r="B95" s="622"/>
      <c r="C95" s="622"/>
      <c r="D95" s="622"/>
      <c r="E95" s="622"/>
      <c r="F95" s="622"/>
      <c r="G95" s="622"/>
      <c r="H95" s="622"/>
      <c r="I95" s="622"/>
      <c r="J95" s="622"/>
      <c r="K95" s="622"/>
      <c r="L95" s="622"/>
    </row>
  </sheetData>
  <mergeCells count="26">
    <mergeCell ref="B19:L19"/>
    <mergeCell ref="B8:D8"/>
    <mergeCell ref="F8:H8"/>
    <mergeCell ref="J8:L8"/>
    <mergeCell ref="B11:L11"/>
    <mergeCell ref="B13:L13"/>
    <mergeCell ref="A86:L86"/>
    <mergeCell ref="B25:L25"/>
    <mergeCell ref="B33:L33"/>
    <mergeCell ref="B40:L40"/>
    <mergeCell ref="B46:L46"/>
    <mergeCell ref="B53:L53"/>
    <mergeCell ref="B59:L59"/>
    <mergeCell ref="B66:L66"/>
    <mergeCell ref="A82:L82"/>
    <mergeCell ref="A83:L83"/>
    <mergeCell ref="A84:L84"/>
    <mergeCell ref="A85:L85"/>
    <mergeCell ref="A94:L94"/>
    <mergeCell ref="A95:L95"/>
    <mergeCell ref="A87:L87"/>
    <mergeCell ref="A89:L89"/>
    <mergeCell ref="A90:L90"/>
    <mergeCell ref="A91:L91"/>
    <mergeCell ref="A92:L92"/>
    <mergeCell ref="A93:L93"/>
  </mergeCells>
  <pageMargins left="0.59055118110236227" right="0.59055118110236227" top="0.78740157480314965" bottom="0.78740157480314965" header="0" footer="0"/>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57"/>
  <sheetViews>
    <sheetView zoomScaleNormal="100" workbookViewId="0">
      <selection activeCell="A4" sqref="A4"/>
    </sheetView>
  </sheetViews>
  <sheetFormatPr defaultRowHeight="14.5"/>
  <cols>
    <col min="1" max="1" width="34.81640625" style="502" customWidth="1"/>
    <col min="2" max="2" width="7.453125" style="502" customWidth="1"/>
    <col min="3" max="3" width="6.54296875" style="502" customWidth="1"/>
    <col min="4" max="4" width="8.453125" style="502" customWidth="1"/>
    <col min="5" max="5" width="1.453125" style="502" customWidth="1"/>
    <col min="6" max="6" width="8.453125" style="502" customWidth="1"/>
    <col min="7" max="7" width="6.54296875" style="502" customWidth="1"/>
    <col min="8" max="8" width="8.453125" style="502" customWidth="1"/>
    <col min="9" max="9" width="1" style="502" customWidth="1"/>
    <col min="10" max="10" width="8.81640625" style="502" customWidth="1"/>
    <col min="11" max="11" width="6.54296875" style="502" customWidth="1"/>
    <col min="12" max="12" width="8.453125" style="502" customWidth="1"/>
    <col min="13" max="99" width="8.7265625" style="502"/>
    <col min="100" max="100" width="36.81640625" style="502" customWidth="1"/>
    <col min="101" max="102" width="6.453125" style="502" customWidth="1"/>
    <col min="103" max="103" width="5.453125" style="502" customWidth="1"/>
    <col min="104" max="104" width="1.453125" style="502" customWidth="1"/>
    <col min="105" max="105" width="6.1796875" style="502" customWidth="1"/>
    <col min="106" max="106" width="5.81640625" style="502" customWidth="1"/>
    <col min="107" max="107" width="5.453125" style="502" customWidth="1"/>
    <col min="108" max="108" width="1" style="502" customWidth="1"/>
    <col min="109" max="109" width="7.54296875" style="502" customWidth="1"/>
    <col min="110" max="110" width="6.1796875" style="502" customWidth="1"/>
    <col min="111" max="111" width="5.54296875" style="502" customWidth="1"/>
    <col min="112" max="355" width="8.7265625" style="502"/>
    <col min="356" max="356" width="36.81640625" style="502" customWidth="1"/>
    <col min="357" max="358" width="6.453125" style="502" customWidth="1"/>
    <col min="359" max="359" width="5.453125" style="502" customWidth="1"/>
    <col min="360" max="360" width="1.453125" style="502" customWidth="1"/>
    <col min="361" max="361" width="6.1796875" style="502" customWidth="1"/>
    <col min="362" max="362" width="5.81640625" style="502" customWidth="1"/>
    <col min="363" max="363" width="5.453125" style="502" customWidth="1"/>
    <col min="364" max="364" width="1" style="502" customWidth="1"/>
    <col min="365" max="365" width="7.54296875" style="502" customWidth="1"/>
    <col min="366" max="366" width="6.1796875" style="502" customWidth="1"/>
    <col min="367" max="367" width="5.54296875" style="502" customWidth="1"/>
    <col min="368" max="611" width="8.7265625" style="502"/>
    <col min="612" max="612" width="36.81640625" style="502" customWidth="1"/>
    <col min="613" max="614" width="6.453125" style="502" customWidth="1"/>
    <col min="615" max="615" width="5.453125" style="502" customWidth="1"/>
    <col min="616" max="616" width="1.453125" style="502" customWidth="1"/>
    <col min="617" max="617" width="6.1796875" style="502" customWidth="1"/>
    <col min="618" max="618" width="5.81640625" style="502" customWidth="1"/>
    <col min="619" max="619" width="5.453125" style="502" customWidth="1"/>
    <col min="620" max="620" width="1" style="502" customWidth="1"/>
    <col min="621" max="621" width="7.54296875" style="502" customWidth="1"/>
    <col min="622" max="622" width="6.1796875" style="502" customWidth="1"/>
    <col min="623" max="623" width="5.54296875" style="502" customWidth="1"/>
    <col min="624" max="867" width="8.7265625" style="502"/>
    <col min="868" max="868" width="36.81640625" style="502" customWidth="1"/>
    <col min="869" max="870" width="6.453125" style="502" customWidth="1"/>
    <col min="871" max="871" width="5.453125" style="502" customWidth="1"/>
    <col min="872" max="872" width="1.453125" style="502" customWidth="1"/>
    <col min="873" max="873" width="6.1796875" style="502" customWidth="1"/>
    <col min="874" max="874" width="5.81640625" style="502" customWidth="1"/>
    <col min="875" max="875" width="5.453125" style="502" customWidth="1"/>
    <col min="876" max="876" width="1" style="502" customWidth="1"/>
    <col min="877" max="877" width="7.54296875" style="502" customWidth="1"/>
    <col min="878" max="878" width="6.1796875" style="502" customWidth="1"/>
    <col min="879" max="879" width="5.54296875" style="502" customWidth="1"/>
    <col min="880" max="1123" width="8.7265625" style="502"/>
    <col min="1124" max="1124" width="36.81640625" style="502" customWidth="1"/>
    <col min="1125" max="1126" width="6.453125" style="502" customWidth="1"/>
    <col min="1127" max="1127" width="5.453125" style="502" customWidth="1"/>
    <col min="1128" max="1128" width="1.453125" style="502" customWidth="1"/>
    <col min="1129" max="1129" width="6.1796875" style="502" customWidth="1"/>
    <col min="1130" max="1130" width="5.81640625" style="502" customWidth="1"/>
    <col min="1131" max="1131" width="5.453125" style="502" customWidth="1"/>
    <col min="1132" max="1132" width="1" style="502" customWidth="1"/>
    <col min="1133" max="1133" width="7.54296875" style="502" customWidth="1"/>
    <col min="1134" max="1134" width="6.1796875" style="502" customWidth="1"/>
    <col min="1135" max="1135" width="5.54296875" style="502" customWidth="1"/>
    <col min="1136" max="1379" width="8.7265625" style="502"/>
    <col min="1380" max="1380" width="36.81640625" style="502" customWidth="1"/>
    <col min="1381" max="1382" width="6.453125" style="502" customWidth="1"/>
    <col min="1383" max="1383" width="5.453125" style="502" customWidth="1"/>
    <col min="1384" max="1384" width="1.453125" style="502" customWidth="1"/>
    <col min="1385" max="1385" width="6.1796875" style="502" customWidth="1"/>
    <col min="1386" max="1386" width="5.81640625" style="502" customWidth="1"/>
    <col min="1387" max="1387" width="5.453125" style="502" customWidth="1"/>
    <col min="1388" max="1388" width="1" style="502" customWidth="1"/>
    <col min="1389" max="1389" width="7.54296875" style="502" customWidth="1"/>
    <col min="1390" max="1390" width="6.1796875" style="502" customWidth="1"/>
    <col min="1391" max="1391" width="5.54296875" style="502" customWidth="1"/>
    <col min="1392" max="1635" width="8.7265625" style="502"/>
    <col min="1636" max="1636" width="36.81640625" style="502" customWidth="1"/>
    <col min="1637" max="1638" width="6.453125" style="502" customWidth="1"/>
    <col min="1639" max="1639" width="5.453125" style="502" customWidth="1"/>
    <col min="1640" max="1640" width="1.453125" style="502" customWidth="1"/>
    <col min="1641" max="1641" width="6.1796875" style="502" customWidth="1"/>
    <col min="1642" max="1642" width="5.81640625" style="502" customWidth="1"/>
    <col min="1643" max="1643" width="5.453125" style="502" customWidth="1"/>
    <col min="1644" max="1644" width="1" style="502" customWidth="1"/>
    <col min="1645" max="1645" width="7.54296875" style="502" customWidth="1"/>
    <col min="1646" max="1646" width="6.1796875" style="502" customWidth="1"/>
    <col min="1647" max="1647" width="5.54296875" style="502" customWidth="1"/>
    <col min="1648" max="1891" width="8.7265625" style="502"/>
    <col min="1892" max="1892" width="36.81640625" style="502" customWidth="1"/>
    <col min="1893" max="1894" width="6.453125" style="502" customWidth="1"/>
    <col min="1895" max="1895" width="5.453125" style="502" customWidth="1"/>
    <col min="1896" max="1896" width="1.453125" style="502" customWidth="1"/>
    <col min="1897" max="1897" width="6.1796875" style="502" customWidth="1"/>
    <col min="1898" max="1898" width="5.81640625" style="502" customWidth="1"/>
    <col min="1899" max="1899" width="5.453125" style="502" customWidth="1"/>
    <col min="1900" max="1900" width="1" style="502" customWidth="1"/>
    <col min="1901" max="1901" width="7.54296875" style="502" customWidth="1"/>
    <col min="1902" max="1902" width="6.1796875" style="502" customWidth="1"/>
    <col min="1903" max="1903" width="5.54296875" style="502" customWidth="1"/>
    <col min="1904" max="2147" width="8.7265625" style="502"/>
    <col min="2148" max="2148" width="36.81640625" style="502" customWidth="1"/>
    <col min="2149" max="2150" width="6.453125" style="502" customWidth="1"/>
    <col min="2151" max="2151" width="5.453125" style="502" customWidth="1"/>
    <col min="2152" max="2152" width="1.453125" style="502" customWidth="1"/>
    <col min="2153" max="2153" width="6.1796875" style="502" customWidth="1"/>
    <col min="2154" max="2154" width="5.81640625" style="502" customWidth="1"/>
    <col min="2155" max="2155" width="5.453125" style="502" customWidth="1"/>
    <col min="2156" max="2156" width="1" style="502" customWidth="1"/>
    <col min="2157" max="2157" width="7.54296875" style="502" customWidth="1"/>
    <col min="2158" max="2158" width="6.1796875" style="502" customWidth="1"/>
    <col min="2159" max="2159" width="5.54296875" style="502" customWidth="1"/>
    <col min="2160" max="2403" width="8.7265625" style="502"/>
    <col min="2404" max="2404" width="36.81640625" style="502" customWidth="1"/>
    <col min="2405" max="2406" width="6.453125" style="502" customWidth="1"/>
    <col min="2407" max="2407" width="5.453125" style="502" customWidth="1"/>
    <col min="2408" max="2408" width="1.453125" style="502" customWidth="1"/>
    <col min="2409" max="2409" width="6.1796875" style="502" customWidth="1"/>
    <col min="2410" max="2410" width="5.81640625" style="502" customWidth="1"/>
    <col min="2411" max="2411" width="5.453125" style="502" customWidth="1"/>
    <col min="2412" max="2412" width="1" style="502" customWidth="1"/>
    <col min="2413" max="2413" width="7.54296875" style="502" customWidth="1"/>
    <col min="2414" max="2414" width="6.1796875" style="502" customWidth="1"/>
    <col min="2415" max="2415" width="5.54296875" style="502" customWidth="1"/>
    <col min="2416" max="2659" width="8.7265625" style="502"/>
    <col min="2660" max="2660" width="36.81640625" style="502" customWidth="1"/>
    <col min="2661" max="2662" width="6.453125" style="502" customWidth="1"/>
    <col min="2663" max="2663" width="5.453125" style="502" customWidth="1"/>
    <col min="2664" max="2664" width="1.453125" style="502" customWidth="1"/>
    <col min="2665" max="2665" width="6.1796875" style="502" customWidth="1"/>
    <col min="2666" max="2666" width="5.81640625" style="502" customWidth="1"/>
    <col min="2667" max="2667" width="5.453125" style="502" customWidth="1"/>
    <col min="2668" max="2668" width="1" style="502" customWidth="1"/>
    <col min="2669" max="2669" width="7.54296875" style="502" customWidth="1"/>
    <col min="2670" max="2670" width="6.1796875" style="502" customWidth="1"/>
    <col min="2671" max="2671" width="5.54296875" style="502" customWidth="1"/>
    <col min="2672" max="2915" width="8.7265625" style="502"/>
    <col min="2916" max="2916" width="36.81640625" style="502" customWidth="1"/>
    <col min="2917" max="2918" width="6.453125" style="502" customWidth="1"/>
    <col min="2919" max="2919" width="5.453125" style="502" customWidth="1"/>
    <col min="2920" max="2920" width="1.453125" style="502" customWidth="1"/>
    <col min="2921" max="2921" width="6.1796875" style="502" customWidth="1"/>
    <col min="2922" max="2922" width="5.81640625" style="502" customWidth="1"/>
    <col min="2923" max="2923" width="5.453125" style="502" customWidth="1"/>
    <col min="2924" max="2924" width="1" style="502" customWidth="1"/>
    <col min="2925" max="2925" width="7.54296875" style="502" customWidth="1"/>
    <col min="2926" max="2926" width="6.1796875" style="502" customWidth="1"/>
    <col min="2927" max="2927" width="5.54296875" style="502" customWidth="1"/>
    <col min="2928" max="3171" width="8.7265625" style="502"/>
    <col min="3172" max="3172" width="36.81640625" style="502" customWidth="1"/>
    <col min="3173" max="3174" width="6.453125" style="502" customWidth="1"/>
    <col min="3175" max="3175" width="5.453125" style="502" customWidth="1"/>
    <col min="3176" max="3176" width="1.453125" style="502" customWidth="1"/>
    <col min="3177" max="3177" width="6.1796875" style="502" customWidth="1"/>
    <col min="3178" max="3178" width="5.81640625" style="502" customWidth="1"/>
    <col min="3179" max="3179" width="5.453125" style="502" customWidth="1"/>
    <col min="3180" max="3180" width="1" style="502" customWidth="1"/>
    <col min="3181" max="3181" width="7.54296875" style="502" customWidth="1"/>
    <col min="3182" max="3182" width="6.1796875" style="502" customWidth="1"/>
    <col min="3183" max="3183" width="5.54296875" style="502" customWidth="1"/>
    <col min="3184" max="3427" width="8.7265625" style="502"/>
    <col min="3428" max="3428" width="36.81640625" style="502" customWidth="1"/>
    <col min="3429" max="3430" width="6.453125" style="502" customWidth="1"/>
    <col min="3431" max="3431" width="5.453125" style="502" customWidth="1"/>
    <col min="3432" max="3432" width="1.453125" style="502" customWidth="1"/>
    <col min="3433" max="3433" width="6.1796875" style="502" customWidth="1"/>
    <col min="3434" max="3434" width="5.81640625" style="502" customWidth="1"/>
    <col min="3435" max="3435" width="5.453125" style="502" customWidth="1"/>
    <col min="3436" max="3436" width="1" style="502" customWidth="1"/>
    <col min="3437" max="3437" width="7.54296875" style="502" customWidth="1"/>
    <col min="3438" max="3438" width="6.1796875" style="502" customWidth="1"/>
    <col min="3439" max="3439" width="5.54296875" style="502" customWidth="1"/>
    <col min="3440" max="3683" width="8.7265625" style="502"/>
    <col min="3684" max="3684" width="36.81640625" style="502" customWidth="1"/>
    <col min="3685" max="3686" width="6.453125" style="502" customWidth="1"/>
    <col min="3687" max="3687" width="5.453125" style="502" customWidth="1"/>
    <col min="3688" max="3688" width="1.453125" style="502" customWidth="1"/>
    <col min="3689" max="3689" width="6.1796875" style="502" customWidth="1"/>
    <col min="3690" max="3690" width="5.81640625" style="502" customWidth="1"/>
    <col min="3691" max="3691" width="5.453125" style="502" customWidth="1"/>
    <col min="3692" max="3692" width="1" style="502" customWidth="1"/>
    <col min="3693" max="3693" width="7.54296875" style="502" customWidth="1"/>
    <col min="3694" max="3694" width="6.1796875" style="502" customWidth="1"/>
    <col min="3695" max="3695" width="5.54296875" style="502" customWidth="1"/>
    <col min="3696" max="3939" width="8.7265625" style="502"/>
    <col min="3940" max="3940" width="36.81640625" style="502" customWidth="1"/>
    <col min="3941" max="3942" width="6.453125" style="502" customWidth="1"/>
    <col min="3943" max="3943" width="5.453125" style="502" customWidth="1"/>
    <col min="3944" max="3944" width="1.453125" style="502" customWidth="1"/>
    <col min="3945" max="3945" width="6.1796875" style="502" customWidth="1"/>
    <col min="3946" max="3946" width="5.81640625" style="502" customWidth="1"/>
    <col min="3947" max="3947" width="5.453125" style="502" customWidth="1"/>
    <col min="3948" max="3948" width="1" style="502" customWidth="1"/>
    <col min="3949" max="3949" width="7.54296875" style="502" customWidth="1"/>
    <col min="3950" max="3950" width="6.1796875" style="502" customWidth="1"/>
    <col min="3951" max="3951" width="5.54296875" style="502" customWidth="1"/>
    <col min="3952" max="4195" width="8.7265625" style="502"/>
    <col min="4196" max="4196" width="36.81640625" style="502" customWidth="1"/>
    <col min="4197" max="4198" width="6.453125" style="502" customWidth="1"/>
    <col min="4199" max="4199" width="5.453125" style="502" customWidth="1"/>
    <col min="4200" max="4200" width="1.453125" style="502" customWidth="1"/>
    <col min="4201" max="4201" width="6.1796875" style="502" customWidth="1"/>
    <col min="4202" max="4202" width="5.81640625" style="502" customWidth="1"/>
    <col min="4203" max="4203" width="5.453125" style="502" customWidth="1"/>
    <col min="4204" max="4204" width="1" style="502" customWidth="1"/>
    <col min="4205" max="4205" width="7.54296875" style="502" customWidth="1"/>
    <col min="4206" max="4206" width="6.1796875" style="502" customWidth="1"/>
    <col min="4207" max="4207" width="5.54296875" style="502" customWidth="1"/>
    <col min="4208" max="4451" width="8.7265625" style="502"/>
    <col min="4452" max="4452" width="36.81640625" style="502" customWidth="1"/>
    <col min="4453" max="4454" width="6.453125" style="502" customWidth="1"/>
    <col min="4455" max="4455" width="5.453125" style="502" customWidth="1"/>
    <col min="4456" max="4456" width="1.453125" style="502" customWidth="1"/>
    <col min="4457" max="4457" width="6.1796875" style="502" customWidth="1"/>
    <col min="4458" max="4458" width="5.81640625" style="502" customWidth="1"/>
    <col min="4459" max="4459" width="5.453125" style="502" customWidth="1"/>
    <col min="4460" max="4460" width="1" style="502" customWidth="1"/>
    <col min="4461" max="4461" width="7.54296875" style="502" customWidth="1"/>
    <col min="4462" max="4462" width="6.1796875" style="502" customWidth="1"/>
    <col min="4463" max="4463" width="5.54296875" style="502" customWidth="1"/>
    <col min="4464" max="4707" width="8.7265625" style="502"/>
    <col min="4708" max="4708" width="36.81640625" style="502" customWidth="1"/>
    <col min="4709" max="4710" width="6.453125" style="502" customWidth="1"/>
    <col min="4711" max="4711" width="5.453125" style="502" customWidth="1"/>
    <col min="4712" max="4712" width="1.453125" style="502" customWidth="1"/>
    <col min="4713" max="4713" width="6.1796875" style="502" customWidth="1"/>
    <col min="4714" max="4714" width="5.81640625" style="502" customWidth="1"/>
    <col min="4715" max="4715" width="5.453125" style="502" customWidth="1"/>
    <col min="4716" max="4716" width="1" style="502" customWidth="1"/>
    <col min="4717" max="4717" width="7.54296875" style="502" customWidth="1"/>
    <col min="4718" max="4718" width="6.1796875" style="502" customWidth="1"/>
    <col min="4719" max="4719" width="5.54296875" style="502" customWidth="1"/>
    <col min="4720" max="4963" width="8.7265625" style="502"/>
    <col min="4964" max="4964" width="36.81640625" style="502" customWidth="1"/>
    <col min="4965" max="4966" width="6.453125" style="502" customWidth="1"/>
    <col min="4967" max="4967" width="5.453125" style="502" customWidth="1"/>
    <col min="4968" max="4968" width="1.453125" style="502" customWidth="1"/>
    <col min="4969" max="4969" width="6.1796875" style="502" customWidth="1"/>
    <col min="4970" max="4970" width="5.81640625" style="502" customWidth="1"/>
    <col min="4971" max="4971" width="5.453125" style="502" customWidth="1"/>
    <col min="4972" max="4972" width="1" style="502" customWidth="1"/>
    <col min="4973" max="4973" width="7.54296875" style="502" customWidth="1"/>
    <col min="4974" max="4974" width="6.1796875" style="502" customWidth="1"/>
    <col min="4975" max="4975" width="5.54296875" style="502" customWidth="1"/>
    <col min="4976" max="5219" width="8.7265625" style="502"/>
    <col min="5220" max="5220" width="36.81640625" style="502" customWidth="1"/>
    <col min="5221" max="5222" width="6.453125" style="502" customWidth="1"/>
    <col min="5223" max="5223" width="5.453125" style="502" customWidth="1"/>
    <col min="5224" max="5224" width="1.453125" style="502" customWidth="1"/>
    <col min="5225" max="5225" width="6.1796875" style="502" customWidth="1"/>
    <col min="5226" max="5226" width="5.81640625" style="502" customWidth="1"/>
    <col min="5227" max="5227" width="5.453125" style="502" customWidth="1"/>
    <col min="5228" max="5228" width="1" style="502" customWidth="1"/>
    <col min="5229" max="5229" width="7.54296875" style="502" customWidth="1"/>
    <col min="5230" max="5230" width="6.1796875" style="502" customWidth="1"/>
    <col min="5231" max="5231" width="5.54296875" style="502" customWidth="1"/>
    <col min="5232" max="5475" width="8.7265625" style="502"/>
    <col min="5476" max="5476" width="36.81640625" style="502" customWidth="1"/>
    <col min="5477" max="5478" width="6.453125" style="502" customWidth="1"/>
    <col min="5479" max="5479" width="5.453125" style="502" customWidth="1"/>
    <col min="5480" max="5480" width="1.453125" style="502" customWidth="1"/>
    <col min="5481" max="5481" width="6.1796875" style="502" customWidth="1"/>
    <col min="5482" max="5482" width="5.81640625" style="502" customWidth="1"/>
    <col min="5483" max="5483" width="5.453125" style="502" customWidth="1"/>
    <col min="5484" max="5484" width="1" style="502" customWidth="1"/>
    <col min="5485" max="5485" width="7.54296875" style="502" customWidth="1"/>
    <col min="5486" max="5486" width="6.1796875" style="502" customWidth="1"/>
    <col min="5487" max="5487" width="5.54296875" style="502" customWidth="1"/>
    <col min="5488" max="5731" width="8.7265625" style="502"/>
    <col min="5732" max="5732" width="36.81640625" style="502" customWidth="1"/>
    <col min="5733" max="5734" width="6.453125" style="502" customWidth="1"/>
    <col min="5735" max="5735" width="5.453125" style="502" customWidth="1"/>
    <col min="5736" max="5736" width="1.453125" style="502" customWidth="1"/>
    <col min="5737" max="5737" width="6.1796875" style="502" customWidth="1"/>
    <col min="5738" max="5738" width="5.81640625" style="502" customWidth="1"/>
    <col min="5739" max="5739" width="5.453125" style="502" customWidth="1"/>
    <col min="5740" max="5740" width="1" style="502" customWidth="1"/>
    <col min="5741" max="5741" width="7.54296875" style="502" customWidth="1"/>
    <col min="5742" max="5742" width="6.1796875" style="502" customWidth="1"/>
    <col min="5743" max="5743" width="5.54296875" style="502" customWidth="1"/>
    <col min="5744" max="5987" width="8.7265625" style="502"/>
    <col min="5988" max="5988" width="36.81640625" style="502" customWidth="1"/>
    <col min="5989" max="5990" width="6.453125" style="502" customWidth="1"/>
    <col min="5991" max="5991" width="5.453125" style="502" customWidth="1"/>
    <col min="5992" max="5992" width="1.453125" style="502" customWidth="1"/>
    <col min="5993" max="5993" width="6.1796875" style="502" customWidth="1"/>
    <col min="5994" max="5994" width="5.81640625" style="502" customWidth="1"/>
    <col min="5995" max="5995" width="5.453125" style="502" customWidth="1"/>
    <col min="5996" max="5996" width="1" style="502" customWidth="1"/>
    <col min="5997" max="5997" width="7.54296875" style="502" customWidth="1"/>
    <col min="5998" max="5998" width="6.1796875" style="502" customWidth="1"/>
    <col min="5999" max="5999" width="5.54296875" style="502" customWidth="1"/>
    <col min="6000" max="6243" width="8.7265625" style="502"/>
    <col min="6244" max="6244" width="36.81640625" style="502" customWidth="1"/>
    <col min="6245" max="6246" width="6.453125" style="502" customWidth="1"/>
    <col min="6247" max="6247" width="5.453125" style="502" customWidth="1"/>
    <col min="6248" max="6248" width="1.453125" style="502" customWidth="1"/>
    <col min="6249" max="6249" width="6.1796875" style="502" customWidth="1"/>
    <col min="6250" max="6250" width="5.81640625" style="502" customWidth="1"/>
    <col min="6251" max="6251" width="5.453125" style="502" customWidth="1"/>
    <col min="6252" max="6252" width="1" style="502" customWidth="1"/>
    <col min="6253" max="6253" width="7.54296875" style="502" customWidth="1"/>
    <col min="6254" max="6254" width="6.1796875" style="502" customWidth="1"/>
    <col min="6255" max="6255" width="5.54296875" style="502" customWidth="1"/>
    <col min="6256" max="6499" width="8.7265625" style="502"/>
    <col min="6500" max="6500" width="36.81640625" style="502" customWidth="1"/>
    <col min="6501" max="6502" width="6.453125" style="502" customWidth="1"/>
    <col min="6503" max="6503" width="5.453125" style="502" customWidth="1"/>
    <col min="6504" max="6504" width="1.453125" style="502" customWidth="1"/>
    <col min="6505" max="6505" width="6.1796875" style="502" customWidth="1"/>
    <col min="6506" max="6506" width="5.81640625" style="502" customWidth="1"/>
    <col min="6507" max="6507" width="5.453125" style="502" customWidth="1"/>
    <col min="6508" max="6508" width="1" style="502" customWidth="1"/>
    <col min="6509" max="6509" width="7.54296875" style="502" customWidth="1"/>
    <col min="6510" max="6510" width="6.1796875" style="502" customWidth="1"/>
    <col min="6511" max="6511" width="5.54296875" style="502" customWidth="1"/>
    <col min="6512" max="6755" width="8.7265625" style="502"/>
    <col min="6756" max="6756" width="36.81640625" style="502" customWidth="1"/>
    <col min="6757" max="6758" width="6.453125" style="502" customWidth="1"/>
    <col min="6759" max="6759" width="5.453125" style="502" customWidth="1"/>
    <col min="6760" max="6760" width="1.453125" style="502" customWidth="1"/>
    <col min="6761" max="6761" width="6.1796875" style="502" customWidth="1"/>
    <col min="6762" max="6762" width="5.81640625" style="502" customWidth="1"/>
    <col min="6763" max="6763" width="5.453125" style="502" customWidth="1"/>
    <col min="6764" max="6764" width="1" style="502" customWidth="1"/>
    <col min="6765" max="6765" width="7.54296875" style="502" customWidth="1"/>
    <col min="6766" max="6766" width="6.1796875" style="502" customWidth="1"/>
    <col min="6767" max="6767" width="5.54296875" style="502" customWidth="1"/>
    <col min="6768" max="7011" width="8.7265625" style="502"/>
    <col min="7012" max="7012" width="36.81640625" style="502" customWidth="1"/>
    <col min="7013" max="7014" width="6.453125" style="502" customWidth="1"/>
    <col min="7015" max="7015" width="5.453125" style="502" customWidth="1"/>
    <col min="7016" max="7016" width="1.453125" style="502" customWidth="1"/>
    <col min="7017" max="7017" width="6.1796875" style="502" customWidth="1"/>
    <col min="7018" max="7018" width="5.81640625" style="502" customWidth="1"/>
    <col min="7019" max="7019" width="5.453125" style="502" customWidth="1"/>
    <col min="7020" max="7020" width="1" style="502" customWidth="1"/>
    <col min="7021" max="7021" width="7.54296875" style="502" customWidth="1"/>
    <col min="7022" max="7022" width="6.1796875" style="502" customWidth="1"/>
    <col min="7023" max="7023" width="5.54296875" style="502" customWidth="1"/>
    <col min="7024" max="7267" width="8.7265625" style="502"/>
    <col min="7268" max="7268" width="36.81640625" style="502" customWidth="1"/>
    <col min="7269" max="7270" width="6.453125" style="502" customWidth="1"/>
    <col min="7271" max="7271" width="5.453125" style="502" customWidth="1"/>
    <col min="7272" max="7272" width="1.453125" style="502" customWidth="1"/>
    <col min="7273" max="7273" width="6.1796875" style="502" customWidth="1"/>
    <col min="7274" max="7274" width="5.81640625" style="502" customWidth="1"/>
    <col min="7275" max="7275" width="5.453125" style="502" customWidth="1"/>
    <col min="7276" max="7276" width="1" style="502" customWidth="1"/>
    <col min="7277" max="7277" width="7.54296875" style="502" customWidth="1"/>
    <col min="7278" max="7278" width="6.1796875" style="502" customWidth="1"/>
    <col min="7279" max="7279" width="5.54296875" style="502" customWidth="1"/>
    <col min="7280" max="7523" width="8.7265625" style="502"/>
    <col min="7524" max="7524" width="36.81640625" style="502" customWidth="1"/>
    <col min="7525" max="7526" width="6.453125" style="502" customWidth="1"/>
    <col min="7527" max="7527" width="5.453125" style="502" customWidth="1"/>
    <col min="7528" max="7528" width="1.453125" style="502" customWidth="1"/>
    <col min="7529" max="7529" width="6.1796875" style="502" customWidth="1"/>
    <col min="7530" max="7530" width="5.81640625" style="502" customWidth="1"/>
    <col min="7531" max="7531" width="5.453125" style="502" customWidth="1"/>
    <col min="7532" max="7532" width="1" style="502" customWidth="1"/>
    <col min="7533" max="7533" width="7.54296875" style="502" customWidth="1"/>
    <col min="7534" max="7534" width="6.1796875" style="502" customWidth="1"/>
    <col min="7535" max="7535" width="5.54296875" style="502" customWidth="1"/>
    <col min="7536" max="7779" width="8.7265625" style="502"/>
    <col min="7780" max="7780" width="36.81640625" style="502" customWidth="1"/>
    <col min="7781" max="7782" width="6.453125" style="502" customWidth="1"/>
    <col min="7783" max="7783" width="5.453125" style="502" customWidth="1"/>
    <col min="7784" max="7784" width="1.453125" style="502" customWidth="1"/>
    <col min="7785" max="7785" width="6.1796875" style="502" customWidth="1"/>
    <col min="7786" max="7786" width="5.81640625" style="502" customWidth="1"/>
    <col min="7787" max="7787" width="5.453125" style="502" customWidth="1"/>
    <col min="7788" max="7788" width="1" style="502" customWidth="1"/>
    <col min="7789" max="7789" width="7.54296875" style="502" customWidth="1"/>
    <col min="7790" max="7790" width="6.1796875" style="502" customWidth="1"/>
    <col min="7791" max="7791" width="5.54296875" style="502" customWidth="1"/>
    <col min="7792" max="8035" width="8.7265625" style="502"/>
    <col min="8036" max="8036" width="36.81640625" style="502" customWidth="1"/>
    <col min="8037" max="8038" width="6.453125" style="502" customWidth="1"/>
    <col min="8039" max="8039" width="5.453125" style="502" customWidth="1"/>
    <col min="8040" max="8040" width="1.453125" style="502" customWidth="1"/>
    <col min="8041" max="8041" width="6.1796875" style="502" customWidth="1"/>
    <col min="8042" max="8042" width="5.81640625" style="502" customWidth="1"/>
    <col min="8043" max="8043" width="5.453125" style="502" customWidth="1"/>
    <col min="8044" max="8044" width="1" style="502" customWidth="1"/>
    <col min="8045" max="8045" width="7.54296875" style="502" customWidth="1"/>
    <col min="8046" max="8046" width="6.1796875" style="502" customWidth="1"/>
    <col min="8047" max="8047" width="5.54296875" style="502" customWidth="1"/>
    <col min="8048" max="8291" width="8.7265625" style="502"/>
    <col min="8292" max="8292" width="36.81640625" style="502" customWidth="1"/>
    <col min="8293" max="8294" width="6.453125" style="502" customWidth="1"/>
    <col min="8295" max="8295" width="5.453125" style="502" customWidth="1"/>
    <col min="8296" max="8296" width="1.453125" style="502" customWidth="1"/>
    <col min="8297" max="8297" width="6.1796875" style="502" customWidth="1"/>
    <col min="8298" max="8298" width="5.81640625" style="502" customWidth="1"/>
    <col min="8299" max="8299" width="5.453125" style="502" customWidth="1"/>
    <col min="8300" max="8300" width="1" style="502" customWidth="1"/>
    <col min="8301" max="8301" width="7.54296875" style="502" customWidth="1"/>
    <col min="8302" max="8302" width="6.1796875" style="502" customWidth="1"/>
    <col min="8303" max="8303" width="5.54296875" style="502" customWidth="1"/>
    <col min="8304" max="8547" width="8.7265625" style="502"/>
    <col min="8548" max="8548" width="36.81640625" style="502" customWidth="1"/>
    <col min="8549" max="8550" width="6.453125" style="502" customWidth="1"/>
    <col min="8551" max="8551" width="5.453125" style="502" customWidth="1"/>
    <col min="8552" max="8552" width="1.453125" style="502" customWidth="1"/>
    <col min="8553" max="8553" width="6.1796875" style="502" customWidth="1"/>
    <col min="8554" max="8554" width="5.81640625" style="502" customWidth="1"/>
    <col min="8555" max="8555" width="5.453125" style="502" customWidth="1"/>
    <col min="8556" max="8556" width="1" style="502" customWidth="1"/>
    <col min="8557" max="8557" width="7.54296875" style="502" customWidth="1"/>
    <col min="8558" max="8558" width="6.1796875" style="502" customWidth="1"/>
    <col min="8559" max="8559" width="5.54296875" style="502" customWidth="1"/>
    <col min="8560" max="8803" width="8.7265625" style="502"/>
    <col min="8804" max="8804" width="36.81640625" style="502" customWidth="1"/>
    <col min="8805" max="8806" width="6.453125" style="502" customWidth="1"/>
    <col min="8807" max="8807" width="5.453125" style="502" customWidth="1"/>
    <col min="8808" max="8808" width="1.453125" style="502" customWidth="1"/>
    <col min="8809" max="8809" width="6.1796875" style="502" customWidth="1"/>
    <col min="8810" max="8810" width="5.81640625" style="502" customWidth="1"/>
    <col min="8811" max="8811" width="5.453125" style="502" customWidth="1"/>
    <col min="8812" max="8812" width="1" style="502" customWidth="1"/>
    <col min="8813" max="8813" width="7.54296875" style="502" customWidth="1"/>
    <col min="8814" max="8814" width="6.1796875" style="502" customWidth="1"/>
    <col min="8815" max="8815" width="5.54296875" style="502" customWidth="1"/>
    <col min="8816" max="9059" width="8.7265625" style="502"/>
    <col min="9060" max="9060" width="36.81640625" style="502" customWidth="1"/>
    <col min="9061" max="9062" width="6.453125" style="502" customWidth="1"/>
    <col min="9063" max="9063" width="5.453125" style="502" customWidth="1"/>
    <col min="9064" max="9064" width="1.453125" style="502" customWidth="1"/>
    <col min="9065" max="9065" width="6.1796875" style="502" customWidth="1"/>
    <col min="9066" max="9066" width="5.81640625" style="502" customWidth="1"/>
    <col min="9067" max="9067" width="5.453125" style="502" customWidth="1"/>
    <col min="9068" max="9068" width="1" style="502" customWidth="1"/>
    <col min="9069" max="9069" width="7.54296875" style="502" customWidth="1"/>
    <col min="9070" max="9070" width="6.1796875" style="502" customWidth="1"/>
    <col min="9071" max="9071" width="5.54296875" style="502" customWidth="1"/>
    <col min="9072" max="9315" width="8.7265625" style="502"/>
    <col min="9316" max="9316" width="36.81640625" style="502" customWidth="1"/>
    <col min="9317" max="9318" width="6.453125" style="502" customWidth="1"/>
    <col min="9319" max="9319" width="5.453125" style="502" customWidth="1"/>
    <col min="9320" max="9320" width="1.453125" style="502" customWidth="1"/>
    <col min="9321" max="9321" width="6.1796875" style="502" customWidth="1"/>
    <col min="9322" max="9322" width="5.81640625" style="502" customWidth="1"/>
    <col min="9323" max="9323" width="5.453125" style="502" customWidth="1"/>
    <col min="9324" max="9324" width="1" style="502" customWidth="1"/>
    <col min="9325" max="9325" width="7.54296875" style="502" customWidth="1"/>
    <col min="9326" max="9326" width="6.1796875" style="502" customWidth="1"/>
    <col min="9327" max="9327" width="5.54296875" style="502" customWidth="1"/>
    <col min="9328" max="9571" width="8.7265625" style="502"/>
    <col min="9572" max="9572" width="36.81640625" style="502" customWidth="1"/>
    <col min="9573" max="9574" width="6.453125" style="502" customWidth="1"/>
    <col min="9575" max="9575" width="5.453125" style="502" customWidth="1"/>
    <col min="9576" max="9576" width="1.453125" style="502" customWidth="1"/>
    <col min="9577" max="9577" width="6.1796875" style="502" customWidth="1"/>
    <col min="9578" max="9578" width="5.81640625" style="502" customWidth="1"/>
    <col min="9579" max="9579" width="5.453125" style="502" customWidth="1"/>
    <col min="9580" max="9580" width="1" style="502" customWidth="1"/>
    <col min="9581" max="9581" width="7.54296875" style="502" customWidth="1"/>
    <col min="9582" max="9582" width="6.1796875" style="502" customWidth="1"/>
    <col min="9583" max="9583" width="5.54296875" style="502" customWidth="1"/>
    <col min="9584" max="9827" width="8.7265625" style="502"/>
    <col min="9828" max="9828" width="36.81640625" style="502" customWidth="1"/>
    <col min="9829" max="9830" width="6.453125" style="502" customWidth="1"/>
    <col min="9831" max="9831" width="5.453125" style="502" customWidth="1"/>
    <col min="9832" max="9832" width="1.453125" style="502" customWidth="1"/>
    <col min="9833" max="9833" width="6.1796875" style="502" customWidth="1"/>
    <col min="9834" max="9834" width="5.81640625" style="502" customWidth="1"/>
    <col min="9835" max="9835" width="5.453125" style="502" customWidth="1"/>
    <col min="9836" max="9836" width="1" style="502" customWidth="1"/>
    <col min="9837" max="9837" width="7.54296875" style="502" customWidth="1"/>
    <col min="9838" max="9838" width="6.1796875" style="502" customWidth="1"/>
    <col min="9839" max="9839" width="5.54296875" style="502" customWidth="1"/>
    <col min="9840" max="10083" width="8.7265625" style="502"/>
    <col min="10084" max="10084" width="36.81640625" style="502" customWidth="1"/>
    <col min="10085" max="10086" width="6.453125" style="502" customWidth="1"/>
    <col min="10087" max="10087" width="5.453125" style="502" customWidth="1"/>
    <col min="10088" max="10088" width="1.453125" style="502" customWidth="1"/>
    <col min="10089" max="10089" width="6.1796875" style="502" customWidth="1"/>
    <col min="10090" max="10090" width="5.81640625" style="502" customWidth="1"/>
    <col min="10091" max="10091" width="5.453125" style="502" customWidth="1"/>
    <col min="10092" max="10092" width="1" style="502" customWidth="1"/>
    <col min="10093" max="10093" width="7.54296875" style="502" customWidth="1"/>
    <col min="10094" max="10094" width="6.1796875" style="502" customWidth="1"/>
    <col min="10095" max="10095" width="5.54296875" style="502" customWidth="1"/>
    <col min="10096" max="10339" width="8.7265625" style="502"/>
    <col min="10340" max="10340" width="36.81640625" style="502" customWidth="1"/>
    <col min="10341" max="10342" width="6.453125" style="502" customWidth="1"/>
    <col min="10343" max="10343" width="5.453125" style="502" customWidth="1"/>
    <col min="10344" max="10344" width="1.453125" style="502" customWidth="1"/>
    <col min="10345" max="10345" width="6.1796875" style="502" customWidth="1"/>
    <col min="10346" max="10346" width="5.81640625" style="502" customWidth="1"/>
    <col min="10347" max="10347" width="5.453125" style="502" customWidth="1"/>
    <col min="10348" max="10348" width="1" style="502" customWidth="1"/>
    <col min="10349" max="10349" width="7.54296875" style="502" customWidth="1"/>
    <col min="10350" max="10350" width="6.1796875" style="502" customWidth="1"/>
    <col min="10351" max="10351" width="5.54296875" style="502" customWidth="1"/>
    <col min="10352" max="10595" width="8.7265625" style="502"/>
    <col min="10596" max="10596" width="36.81640625" style="502" customWidth="1"/>
    <col min="10597" max="10598" width="6.453125" style="502" customWidth="1"/>
    <col min="10599" max="10599" width="5.453125" style="502" customWidth="1"/>
    <col min="10600" max="10600" width="1.453125" style="502" customWidth="1"/>
    <col min="10601" max="10601" width="6.1796875" style="502" customWidth="1"/>
    <col min="10602" max="10602" width="5.81640625" style="502" customWidth="1"/>
    <col min="10603" max="10603" width="5.453125" style="502" customWidth="1"/>
    <col min="10604" max="10604" width="1" style="502" customWidth="1"/>
    <col min="10605" max="10605" width="7.54296875" style="502" customWidth="1"/>
    <col min="10606" max="10606" width="6.1796875" style="502" customWidth="1"/>
    <col min="10607" max="10607" width="5.54296875" style="502" customWidth="1"/>
    <col min="10608" max="10851" width="8.7265625" style="502"/>
    <col min="10852" max="10852" width="36.81640625" style="502" customWidth="1"/>
    <col min="10853" max="10854" width="6.453125" style="502" customWidth="1"/>
    <col min="10855" max="10855" width="5.453125" style="502" customWidth="1"/>
    <col min="10856" max="10856" width="1.453125" style="502" customWidth="1"/>
    <col min="10857" max="10857" width="6.1796875" style="502" customWidth="1"/>
    <col min="10858" max="10858" width="5.81640625" style="502" customWidth="1"/>
    <col min="10859" max="10859" width="5.453125" style="502" customWidth="1"/>
    <col min="10860" max="10860" width="1" style="502" customWidth="1"/>
    <col min="10861" max="10861" width="7.54296875" style="502" customWidth="1"/>
    <col min="10862" max="10862" width="6.1796875" style="502" customWidth="1"/>
    <col min="10863" max="10863" width="5.54296875" style="502" customWidth="1"/>
    <col min="10864" max="11107" width="8.7265625" style="502"/>
    <col min="11108" max="11108" width="36.81640625" style="502" customWidth="1"/>
    <col min="11109" max="11110" width="6.453125" style="502" customWidth="1"/>
    <col min="11111" max="11111" width="5.453125" style="502" customWidth="1"/>
    <col min="11112" max="11112" width="1.453125" style="502" customWidth="1"/>
    <col min="11113" max="11113" width="6.1796875" style="502" customWidth="1"/>
    <col min="11114" max="11114" width="5.81640625" style="502" customWidth="1"/>
    <col min="11115" max="11115" width="5.453125" style="502" customWidth="1"/>
    <col min="11116" max="11116" width="1" style="502" customWidth="1"/>
    <col min="11117" max="11117" width="7.54296875" style="502" customWidth="1"/>
    <col min="11118" max="11118" width="6.1796875" style="502" customWidth="1"/>
    <col min="11119" max="11119" width="5.54296875" style="502" customWidth="1"/>
    <col min="11120" max="11363" width="8.7265625" style="502"/>
    <col min="11364" max="11364" width="36.81640625" style="502" customWidth="1"/>
    <col min="11365" max="11366" width="6.453125" style="502" customWidth="1"/>
    <col min="11367" max="11367" width="5.453125" style="502" customWidth="1"/>
    <col min="11368" max="11368" width="1.453125" style="502" customWidth="1"/>
    <col min="11369" max="11369" width="6.1796875" style="502" customWidth="1"/>
    <col min="11370" max="11370" width="5.81640625" style="502" customWidth="1"/>
    <col min="11371" max="11371" width="5.453125" style="502" customWidth="1"/>
    <col min="11372" max="11372" width="1" style="502" customWidth="1"/>
    <col min="11373" max="11373" width="7.54296875" style="502" customWidth="1"/>
    <col min="11374" max="11374" width="6.1796875" style="502" customWidth="1"/>
    <col min="11375" max="11375" width="5.54296875" style="502" customWidth="1"/>
    <col min="11376" max="11619" width="8.7265625" style="502"/>
    <col min="11620" max="11620" width="36.81640625" style="502" customWidth="1"/>
    <col min="11621" max="11622" width="6.453125" style="502" customWidth="1"/>
    <col min="11623" max="11623" width="5.453125" style="502" customWidth="1"/>
    <col min="11624" max="11624" width="1.453125" style="502" customWidth="1"/>
    <col min="11625" max="11625" width="6.1796875" style="502" customWidth="1"/>
    <col min="11626" max="11626" width="5.81640625" style="502" customWidth="1"/>
    <col min="11627" max="11627" width="5.453125" style="502" customWidth="1"/>
    <col min="11628" max="11628" width="1" style="502" customWidth="1"/>
    <col min="11629" max="11629" width="7.54296875" style="502" customWidth="1"/>
    <col min="11630" max="11630" width="6.1796875" style="502" customWidth="1"/>
    <col min="11631" max="11631" width="5.54296875" style="502" customWidth="1"/>
    <col min="11632" max="11875" width="8.7265625" style="502"/>
    <col min="11876" max="11876" width="36.81640625" style="502" customWidth="1"/>
    <col min="11877" max="11878" width="6.453125" style="502" customWidth="1"/>
    <col min="11879" max="11879" width="5.453125" style="502" customWidth="1"/>
    <col min="11880" max="11880" width="1.453125" style="502" customWidth="1"/>
    <col min="11881" max="11881" width="6.1796875" style="502" customWidth="1"/>
    <col min="11882" max="11882" width="5.81640625" style="502" customWidth="1"/>
    <col min="11883" max="11883" width="5.453125" style="502" customWidth="1"/>
    <col min="11884" max="11884" width="1" style="502" customWidth="1"/>
    <col min="11885" max="11885" width="7.54296875" style="502" customWidth="1"/>
    <col min="11886" max="11886" width="6.1796875" style="502" customWidth="1"/>
    <col min="11887" max="11887" width="5.54296875" style="502" customWidth="1"/>
    <col min="11888" max="12131" width="8.7265625" style="502"/>
    <col min="12132" max="12132" width="36.81640625" style="502" customWidth="1"/>
    <col min="12133" max="12134" width="6.453125" style="502" customWidth="1"/>
    <col min="12135" max="12135" width="5.453125" style="502" customWidth="1"/>
    <col min="12136" max="12136" width="1.453125" style="502" customWidth="1"/>
    <col min="12137" max="12137" width="6.1796875" style="502" customWidth="1"/>
    <col min="12138" max="12138" width="5.81640625" style="502" customWidth="1"/>
    <col min="12139" max="12139" width="5.453125" style="502" customWidth="1"/>
    <col min="12140" max="12140" width="1" style="502" customWidth="1"/>
    <col min="12141" max="12141" width="7.54296875" style="502" customWidth="1"/>
    <col min="12142" max="12142" width="6.1796875" style="502" customWidth="1"/>
    <col min="12143" max="12143" width="5.54296875" style="502" customWidth="1"/>
    <col min="12144" max="12387" width="8.7265625" style="502"/>
    <col min="12388" max="12388" width="36.81640625" style="502" customWidth="1"/>
    <col min="12389" max="12390" width="6.453125" style="502" customWidth="1"/>
    <col min="12391" max="12391" width="5.453125" style="502" customWidth="1"/>
    <col min="12392" max="12392" width="1.453125" style="502" customWidth="1"/>
    <col min="12393" max="12393" width="6.1796875" style="502" customWidth="1"/>
    <col min="12394" max="12394" width="5.81640625" style="502" customWidth="1"/>
    <col min="12395" max="12395" width="5.453125" style="502" customWidth="1"/>
    <col min="12396" max="12396" width="1" style="502" customWidth="1"/>
    <col min="12397" max="12397" width="7.54296875" style="502" customWidth="1"/>
    <col min="12398" max="12398" width="6.1796875" style="502" customWidth="1"/>
    <col min="12399" max="12399" width="5.54296875" style="502" customWidth="1"/>
    <col min="12400" max="12643" width="8.7265625" style="502"/>
    <col min="12644" max="12644" width="36.81640625" style="502" customWidth="1"/>
    <col min="12645" max="12646" width="6.453125" style="502" customWidth="1"/>
    <col min="12647" max="12647" width="5.453125" style="502" customWidth="1"/>
    <col min="12648" max="12648" width="1.453125" style="502" customWidth="1"/>
    <col min="12649" max="12649" width="6.1796875" style="502" customWidth="1"/>
    <col min="12650" max="12650" width="5.81640625" style="502" customWidth="1"/>
    <col min="12651" max="12651" width="5.453125" style="502" customWidth="1"/>
    <col min="12652" max="12652" width="1" style="502" customWidth="1"/>
    <col min="12653" max="12653" width="7.54296875" style="502" customWidth="1"/>
    <col min="12654" max="12654" width="6.1796875" style="502" customWidth="1"/>
    <col min="12655" max="12655" width="5.54296875" style="502" customWidth="1"/>
    <col min="12656" max="12899" width="8.7265625" style="502"/>
    <col min="12900" max="12900" width="36.81640625" style="502" customWidth="1"/>
    <col min="12901" max="12902" width="6.453125" style="502" customWidth="1"/>
    <col min="12903" max="12903" width="5.453125" style="502" customWidth="1"/>
    <col min="12904" max="12904" width="1.453125" style="502" customWidth="1"/>
    <col min="12905" max="12905" width="6.1796875" style="502" customWidth="1"/>
    <col min="12906" max="12906" width="5.81640625" style="502" customWidth="1"/>
    <col min="12907" max="12907" width="5.453125" style="502" customWidth="1"/>
    <col min="12908" max="12908" width="1" style="502" customWidth="1"/>
    <col min="12909" max="12909" width="7.54296875" style="502" customWidth="1"/>
    <col min="12910" max="12910" width="6.1796875" style="502" customWidth="1"/>
    <col min="12911" max="12911" width="5.54296875" style="502" customWidth="1"/>
    <col min="12912" max="13155" width="8.7265625" style="502"/>
    <col min="13156" max="13156" width="36.81640625" style="502" customWidth="1"/>
    <col min="13157" max="13158" width="6.453125" style="502" customWidth="1"/>
    <col min="13159" max="13159" width="5.453125" style="502" customWidth="1"/>
    <col min="13160" max="13160" width="1.453125" style="502" customWidth="1"/>
    <col min="13161" max="13161" width="6.1796875" style="502" customWidth="1"/>
    <col min="13162" max="13162" width="5.81640625" style="502" customWidth="1"/>
    <col min="13163" max="13163" width="5.453125" style="502" customWidth="1"/>
    <col min="13164" max="13164" width="1" style="502" customWidth="1"/>
    <col min="13165" max="13165" width="7.54296875" style="502" customWidth="1"/>
    <col min="13166" max="13166" width="6.1796875" style="502" customWidth="1"/>
    <col min="13167" max="13167" width="5.54296875" style="502" customWidth="1"/>
    <col min="13168" max="13411" width="8.7265625" style="502"/>
    <col min="13412" max="13412" width="36.81640625" style="502" customWidth="1"/>
    <col min="13413" max="13414" width="6.453125" style="502" customWidth="1"/>
    <col min="13415" max="13415" width="5.453125" style="502" customWidth="1"/>
    <col min="13416" max="13416" width="1.453125" style="502" customWidth="1"/>
    <col min="13417" max="13417" width="6.1796875" style="502" customWidth="1"/>
    <col min="13418" max="13418" width="5.81640625" style="502" customWidth="1"/>
    <col min="13419" max="13419" width="5.453125" style="502" customWidth="1"/>
    <col min="13420" max="13420" width="1" style="502" customWidth="1"/>
    <col min="13421" max="13421" width="7.54296875" style="502" customWidth="1"/>
    <col min="13422" max="13422" width="6.1796875" style="502" customWidth="1"/>
    <col min="13423" max="13423" width="5.54296875" style="502" customWidth="1"/>
    <col min="13424" max="13667" width="8.7265625" style="502"/>
    <col min="13668" max="13668" width="36.81640625" style="502" customWidth="1"/>
    <col min="13669" max="13670" width="6.453125" style="502" customWidth="1"/>
    <col min="13671" max="13671" width="5.453125" style="502" customWidth="1"/>
    <col min="13672" max="13672" width="1.453125" style="502" customWidth="1"/>
    <col min="13673" max="13673" width="6.1796875" style="502" customWidth="1"/>
    <col min="13674" max="13674" width="5.81640625" style="502" customWidth="1"/>
    <col min="13675" max="13675" width="5.453125" style="502" customWidth="1"/>
    <col min="13676" max="13676" width="1" style="502" customWidth="1"/>
    <col min="13677" max="13677" width="7.54296875" style="502" customWidth="1"/>
    <col min="13678" max="13678" width="6.1796875" style="502" customWidth="1"/>
    <col min="13679" max="13679" width="5.54296875" style="502" customWidth="1"/>
    <col min="13680" max="13923" width="8.7265625" style="502"/>
    <col min="13924" max="13924" width="36.81640625" style="502" customWidth="1"/>
    <col min="13925" max="13926" width="6.453125" style="502" customWidth="1"/>
    <col min="13927" max="13927" width="5.453125" style="502" customWidth="1"/>
    <col min="13928" max="13928" width="1.453125" style="502" customWidth="1"/>
    <col min="13929" max="13929" width="6.1796875" style="502" customWidth="1"/>
    <col min="13930" max="13930" width="5.81640625" style="502" customWidth="1"/>
    <col min="13931" max="13931" width="5.453125" style="502" customWidth="1"/>
    <col min="13932" max="13932" width="1" style="502" customWidth="1"/>
    <col min="13933" max="13933" width="7.54296875" style="502" customWidth="1"/>
    <col min="13934" max="13934" width="6.1796875" style="502" customWidth="1"/>
    <col min="13935" max="13935" width="5.54296875" style="502" customWidth="1"/>
    <col min="13936" max="14179" width="8.7265625" style="502"/>
    <col min="14180" max="14180" width="36.81640625" style="502" customWidth="1"/>
    <col min="14181" max="14182" width="6.453125" style="502" customWidth="1"/>
    <col min="14183" max="14183" width="5.453125" style="502" customWidth="1"/>
    <col min="14184" max="14184" width="1.453125" style="502" customWidth="1"/>
    <col min="14185" max="14185" width="6.1796875" style="502" customWidth="1"/>
    <col min="14186" max="14186" width="5.81640625" style="502" customWidth="1"/>
    <col min="14187" max="14187" width="5.453125" style="502" customWidth="1"/>
    <col min="14188" max="14188" width="1" style="502" customWidth="1"/>
    <col min="14189" max="14189" width="7.54296875" style="502" customWidth="1"/>
    <col min="14190" max="14190" width="6.1796875" style="502" customWidth="1"/>
    <col min="14191" max="14191" width="5.54296875" style="502" customWidth="1"/>
    <col min="14192" max="14435" width="8.7265625" style="502"/>
    <col min="14436" max="14436" width="36.81640625" style="502" customWidth="1"/>
    <col min="14437" max="14438" width="6.453125" style="502" customWidth="1"/>
    <col min="14439" max="14439" width="5.453125" style="502" customWidth="1"/>
    <col min="14440" max="14440" width="1.453125" style="502" customWidth="1"/>
    <col min="14441" max="14441" width="6.1796875" style="502" customWidth="1"/>
    <col min="14442" max="14442" width="5.81640625" style="502" customWidth="1"/>
    <col min="14443" max="14443" width="5.453125" style="502" customWidth="1"/>
    <col min="14444" max="14444" width="1" style="502" customWidth="1"/>
    <col min="14445" max="14445" width="7.54296875" style="502" customWidth="1"/>
    <col min="14446" max="14446" width="6.1796875" style="502" customWidth="1"/>
    <col min="14447" max="14447" width="5.54296875" style="502" customWidth="1"/>
    <col min="14448" max="14691" width="8.7265625" style="502"/>
    <col min="14692" max="14692" width="36.81640625" style="502" customWidth="1"/>
    <col min="14693" max="14694" width="6.453125" style="502" customWidth="1"/>
    <col min="14695" max="14695" width="5.453125" style="502" customWidth="1"/>
    <col min="14696" max="14696" width="1.453125" style="502" customWidth="1"/>
    <col min="14697" max="14697" width="6.1796875" style="502" customWidth="1"/>
    <col min="14698" max="14698" width="5.81640625" style="502" customWidth="1"/>
    <col min="14699" max="14699" width="5.453125" style="502" customWidth="1"/>
    <col min="14700" max="14700" width="1" style="502" customWidth="1"/>
    <col min="14701" max="14701" width="7.54296875" style="502" customWidth="1"/>
    <col min="14702" max="14702" width="6.1796875" style="502" customWidth="1"/>
    <col min="14703" max="14703" width="5.54296875" style="502" customWidth="1"/>
    <col min="14704" max="14947" width="8.7265625" style="502"/>
    <col min="14948" max="14948" width="36.81640625" style="502" customWidth="1"/>
    <col min="14949" max="14950" width="6.453125" style="502" customWidth="1"/>
    <col min="14951" max="14951" width="5.453125" style="502" customWidth="1"/>
    <col min="14952" max="14952" width="1.453125" style="502" customWidth="1"/>
    <col min="14953" max="14953" width="6.1796875" style="502" customWidth="1"/>
    <col min="14954" max="14954" width="5.81640625" style="502" customWidth="1"/>
    <col min="14955" max="14955" width="5.453125" style="502" customWidth="1"/>
    <col min="14956" max="14956" width="1" style="502" customWidth="1"/>
    <col min="14957" max="14957" width="7.54296875" style="502" customWidth="1"/>
    <col min="14958" max="14958" width="6.1796875" style="502" customWidth="1"/>
    <col min="14959" max="14959" width="5.54296875" style="502" customWidth="1"/>
    <col min="14960" max="15203" width="8.7265625" style="502"/>
    <col min="15204" max="15204" width="36.81640625" style="502" customWidth="1"/>
    <col min="15205" max="15206" width="6.453125" style="502" customWidth="1"/>
    <col min="15207" max="15207" width="5.453125" style="502" customWidth="1"/>
    <col min="15208" max="15208" width="1.453125" style="502" customWidth="1"/>
    <col min="15209" max="15209" width="6.1796875" style="502" customWidth="1"/>
    <col min="15210" max="15210" width="5.81640625" style="502" customWidth="1"/>
    <col min="15211" max="15211" width="5.453125" style="502" customWidth="1"/>
    <col min="15212" max="15212" width="1" style="502" customWidth="1"/>
    <col min="15213" max="15213" width="7.54296875" style="502" customWidth="1"/>
    <col min="15214" max="15214" width="6.1796875" style="502" customWidth="1"/>
    <col min="15215" max="15215" width="5.54296875" style="502" customWidth="1"/>
    <col min="15216" max="15459" width="8.7265625" style="502"/>
    <col min="15460" max="15460" width="36.81640625" style="502" customWidth="1"/>
    <col min="15461" max="15462" width="6.453125" style="502" customWidth="1"/>
    <col min="15463" max="15463" width="5.453125" style="502" customWidth="1"/>
    <col min="15464" max="15464" width="1.453125" style="502" customWidth="1"/>
    <col min="15465" max="15465" width="6.1796875" style="502" customWidth="1"/>
    <col min="15466" max="15466" width="5.81640625" style="502" customWidth="1"/>
    <col min="15467" max="15467" width="5.453125" style="502" customWidth="1"/>
    <col min="15468" max="15468" width="1" style="502" customWidth="1"/>
    <col min="15469" max="15469" width="7.54296875" style="502" customWidth="1"/>
    <col min="15470" max="15470" width="6.1796875" style="502" customWidth="1"/>
    <col min="15471" max="15471" width="5.54296875" style="502" customWidth="1"/>
    <col min="15472" max="15715" width="8.7265625" style="502"/>
    <col min="15716" max="15716" width="36.81640625" style="502" customWidth="1"/>
    <col min="15717" max="15718" width="6.453125" style="502" customWidth="1"/>
    <col min="15719" max="15719" width="5.453125" style="502" customWidth="1"/>
    <col min="15720" max="15720" width="1.453125" style="502" customWidth="1"/>
    <col min="15721" max="15721" width="6.1796875" style="502" customWidth="1"/>
    <col min="15722" max="15722" width="5.81640625" style="502" customWidth="1"/>
    <col min="15723" max="15723" width="5.453125" style="502" customWidth="1"/>
    <col min="15724" max="15724" width="1" style="502" customWidth="1"/>
    <col min="15725" max="15725" width="7.54296875" style="502" customWidth="1"/>
    <col min="15726" max="15726" width="6.1796875" style="502" customWidth="1"/>
    <col min="15727" max="15727" width="5.54296875" style="502" customWidth="1"/>
    <col min="15728" max="15971" width="8.7265625" style="502"/>
    <col min="15972" max="15972" width="36.81640625" style="502" customWidth="1"/>
    <col min="15973" max="15974" width="6.453125" style="502" customWidth="1"/>
    <col min="15975" max="15975" width="5.453125" style="502" customWidth="1"/>
    <col min="15976" max="15976" width="1.453125" style="502" customWidth="1"/>
    <col min="15977" max="15977" width="6.1796875" style="502" customWidth="1"/>
    <col min="15978" max="15978" width="5.81640625" style="502" customWidth="1"/>
    <col min="15979" max="15979" width="5.453125" style="502" customWidth="1"/>
    <col min="15980" max="15980" width="1" style="502" customWidth="1"/>
    <col min="15981" max="15981" width="7.54296875" style="502" customWidth="1"/>
    <col min="15982" max="15982" width="6.1796875" style="502" customWidth="1"/>
    <col min="15983" max="15983" width="5.54296875" style="502" customWidth="1"/>
    <col min="15984" max="16227" width="8.7265625" style="502"/>
    <col min="16228" max="16384" width="9" style="502" customWidth="1"/>
  </cols>
  <sheetData>
    <row r="1" spans="1:12" ht="12" customHeight="1"/>
    <row r="2" spans="1:12" ht="12" customHeight="1"/>
    <row r="3" spans="1:12" ht="12" customHeight="1"/>
    <row r="4" spans="1:12" ht="12" customHeight="1">
      <c r="A4" s="503" t="s">
        <v>12</v>
      </c>
      <c r="C4" s="504"/>
      <c r="D4" s="504"/>
      <c r="E4" s="504"/>
      <c r="F4" s="504"/>
      <c r="G4" s="504"/>
      <c r="H4" s="504"/>
      <c r="I4" s="504"/>
      <c r="J4" s="504"/>
      <c r="K4" s="504"/>
      <c r="L4" s="504"/>
    </row>
    <row r="5" spans="1:12" ht="12" customHeight="1">
      <c r="A5" s="505" t="s">
        <v>13</v>
      </c>
      <c r="B5" s="505"/>
      <c r="C5" s="504"/>
      <c r="D5" s="504"/>
      <c r="E5" s="504"/>
      <c r="F5" s="504"/>
      <c r="G5" s="504"/>
      <c r="H5" s="504"/>
      <c r="I5" s="504"/>
      <c r="J5" s="504"/>
      <c r="K5" s="504"/>
      <c r="L5" s="504"/>
    </row>
    <row r="6" spans="1:12" ht="12" customHeight="1">
      <c r="A6" s="506" t="s">
        <v>189</v>
      </c>
      <c r="B6" s="507"/>
      <c r="C6" s="504"/>
      <c r="D6" s="504"/>
      <c r="E6" s="504"/>
      <c r="F6" s="504"/>
      <c r="G6" s="504"/>
      <c r="H6" s="504"/>
      <c r="I6" s="504"/>
      <c r="J6" s="504"/>
      <c r="K6" s="504"/>
      <c r="L6" s="504"/>
    </row>
    <row r="7" spans="1:12" ht="6" customHeight="1">
      <c r="A7" s="508"/>
      <c r="B7" s="508"/>
      <c r="C7" s="509"/>
      <c r="D7" s="509"/>
      <c r="E7" s="509"/>
      <c r="F7" s="509"/>
      <c r="G7" s="509"/>
      <c r="H7" s="509"/>
      <c r="I7" s="509"/>
      <c r="J7" s="509"/>
      <c r="K7" s="509"/>
      <c r="L7" s="509"/>
    </row>
    <row r="8" spans="1:12" ht="15" customHeight="1">
      <c r="A8" s="634" t="s">
        <v>100</v>
      </c>
      <c r="B8" s="636" t="s">
        <v>101</v>
      </c>
      <c r="C8" s="636"/>
      <c r="D8" s="636"/>
      <c r="E8" s="570"/>
      <c r="F8" s="636" t="s">
        <v>102</v>
      </c>
      <c r="G8" s="636"/>
      <c r="H8" s="636"/>
      <c r="I8" s="570"/>
      <c r="J8" s="637" t="s">
        <v>103</v>
      </c>
      <c r="K8" s="637"/>
      <c r="L8" s="637"/>
    </row>
    <row r="9" spans="1:12" ht="18" customHeight="1">
      <c r="A9" s="635"/>
      <c r="B9" s="571" t="s">
        <v>104</v>
      </c>
      <c r="C9" s="571" t="s">
        <v>105</v>
      </c>
      <c r="D9" s="572" t="s">
        <v>106</v>
      </c>
      <c r="E9" s="510"/>
      <c r="F9" s="571" t="s">
        <v>104</v>
      </c>
      <c r="G9" s="571" t="s">
        <v>105</v>
      </c>
      <c r="H9" s="572" t="s">
        <v>106</v>
      </c>
      <c r="I9" s="510"/>
      <c r="J9" s="571" t="s">
        <v>104</v>
      </c>
      <c r="K9" s="571" t="s">
        <v>105</v>
      </c>
      <c r="L9" s="572" t="s">
        <v>106</v>
      </c>
    </row>
    <row r="10" spans="1:12" ht="3" customHeight="1">
      <c r="A10" s="511"/>
      <c r="B10" s="511"/>
      <c r="C10" s="512"/>
      <c r="D10" s="512"/>
      <c r="E10" s="512"/>
      <c r="F10" s="512"/>
      <c r="G10" s="512"/>
      <c r="H10" s="512"/>
      <c r="I10" s="512"/>
      <c r="J10" s="512"/>
      <c r="K10" s="512"/>
      <c r="L10" s="512"/>
    </row>
    <row r="11" spans="1:12" s="514" customFormat="1" ht="9.75" customHeight="1">
      <c r="A11" s="511"/>
      <c r="B11" s="638" t="s">
        <v>107</v>
      </c>
      <c r="C11" s="639"/>
      <c r="D11" s="639"/>
      <c r="E11" s="639"/>
      <c r="F11" s="639"/>
      <c r="G11" s="639"/>
      <c r="H11" s="639"/>
      <c r="I11" s="639"/>
      <c r="J11" s="639"/>
      <c r="K11" s="639"/>
      <c r="L11" s="639"/>
    </row>
    <row r="12" spans="1:12" s="514" customFormat="1" ht="3" customHeight="1">
      <c r="A12" s="511"/>
      <c r="B12" s="513"/>
      <c r="C12" s="513"/>
      <c r="D12" s="513"/>
      <c r="E12" s="513"/>
      <c r="F12" s="513"/>
      <c r="G12" s="513"/>
      <c r="H12" s="513"/>
      <c r="I12" s="513"/>
      <c r="J12" s="513"/>
      <c r="K12" s="513"/>
      <c r="L12" s="513"/>
    </row>
    <row r="13" spans="1:12" ht="3" customHeight="1">
      <c r="A13" s="515"/>
      <c r="B13" s="516"/>
      <c r="C13" s="517"/>
      <c r="D13" s="518"/>
      <c r="E13" s="516"/>
      <c r="F13" s="516"/>
      <c r="G13" s="517"/>
      <c r="H13" s="518"/>
      <c r="I13" s="516"/>
      <c r="J13" s="516"/>
      <c r="K13" s="517"/>
      <c r="L13" s="518"/>
    </row>
    <row r="14" spans="1:12" ht="10" customHeight="1">
      <c r="A14" s="519"/>
      <c r="B14" s="640" t="s">
        <v>190</v>
      </c>
      <c r="C14" s="640"/>
      <c r="D14" s="640"/>
      <c r="E14" s="640"/>
      <c r="F14" s="640"/>
      <c r="G14" s="640"/>
      <c r="H14" s="640"/>
      <c r="I14" s="640"/>
      <c r="J14" s="640"/>
      <c r="K14" s="640"/>
      <c r="L14" s="640"/>
    </row>
    <row r="15" spans="1:12" ht="3" customHeight="1">
      <c r="A15" s="519"/>
      <c r="B15" s="521"/>
      <c r="C15" s="522"/>
      <c r="D15" s="523"/>
      <c r="E15" s="521"/>
      <c r="F15" s="521"/>
      <c r="G15" s="522"/>
      <c r="H15" s="523"/>
      <c r="I15" s="521"/>
      <c r="J15" s="521"/>
      <c r="K15" s="522"/>
      <c r="L15" s="523"/>
    </row>
    <row r="16" spans="1:12" ht="10" customHeight="1">
      <c r="A16" s="519" t="s">
        <v>191</v>
      </c>
      <c r="B16" s="521">
        <v>18974</v>
      </c>
      <c r="C16" s="522">
        <f>+B16/$B$21*100</f>
        <v>29.440332666139117</v>
      </c>
      <c r="D16" s="523">
        <f>(B16-17459)/17459*100</f>
        <v>8.677472936594306</v>
      </c>
      <c r="E16" s="521"/>
      <c r="F16" s="521">
        <v>18424</v>
      </c>
      <c r="G16" s="522">
        <f>+F16/$F$21*100</f>
        <v>25.774681383864245</v>
      </c>
      <c r="H16" s="523">
        <f>(F16-17612)/17612*100</f>
        <v>4.6104928457869638</v>
      </c>
      <c r="I16" s="521"/>
      <c r="J16" s="521">
        <v>4501</v>
      </c>
      <c r="K16" s="522">
        <f>J16/$J$21*100</f>
        <v>3.7529913033327498</v>
      </c>
      <c r="L16" s="523">
        <f>(J16-3977)/3977*100</f>
        <v>13.175760623585617</v>
      </c>
    </row>
    <row r="17" spans="1:14" ht="10" customHeight="1">
      <c r="A17" s="519" t="s">
        <v>192</v>
      </c>
      <c r="B17" s="521">
        <v>27454</v>
      </c>
      <c r="C17" s="522">
        <f t="shared" ref="C17:C21" si="0">+B17/$B$21*100</f>
        <v>42.598023243184535</v>
      </c>
      <c r="D17" s="523">
        <f>(B17-26737)/26737*100</f>
        <v>2.681677076710177</v>
      </c>
      <c r="E17" s="521"/>
      <c r="F17" s="521">
        <v>31408</v>
      </c>
      <c r="G17" s="522">
        <f t="shared" ref="G17:G21" si="1">+F17/$F$21*100</f>
        <v>43.938948811572303</v>
      </c>
      <c r="H17" s="523">
        <f>(F17-33108)/33108*100</f>
        <v>-5.1347106439531238</v>
      </c>
      <c r="I17" s="521"/>
      <c r="J17" s="521">
        <v>63912</v>
      </c>
      <c r="K17" s="522">
        <f t="shared" ref="K17:K21" si="2">J17/$J$21*100</f>
        <v>53.290642119218546</v>
      </c>
      <c r="L17" s="523">
        <f>(J17-67753)/67753*100</f>
        <v>-5.6691216625094087</v>
      </c>
    </row>
    <row r="18" spans="1:14" ht="18">
      <c r="A18" s="524" t="s">
        <v>193</v>
      </c>
      <c r="B18" s="525">
        <v>206</v>
      </c>
      <c r="C18" s="546">
        <f t="shared" si="0"/>
        <v>0.31963257769709386</v>
      </c>
      <c r="D18" s="547">
        <f>(B18-196)/196*100</f>
        <v>5.1020408163265305</v>
      </c>
      <c r="E18" s="525"/>
      <c r="F18" s="525">
        <v>250</v>
      </c>
      <c r="G18" s="546">
        <f t="shared" si="1"/>
        <v>0.3497432884262951</v>
      </c>
      <c r="H18" s="547">
        <f>(F18-249)/249*100</f>
        <v>0.40160642570281119</v>
      </c>
      <c r="I18" s="525"/>
      <c r="J18" s="525">
        <v>525</v>
      </c>
      <c r="K18" s="546">
        <f t="shared" si="2"/>
        <v>0.43775170723165824</v>
      </c>
      <c r="L18" s="547">
        <f>(J18-563)/563*100</f>
        <v>-6.74955595026643</v>
      </c>
    </row>
    <row r="19" spans="1:14" ht="19.5" customHeight="1">
      <c r="A19" s="524" t="s">
        <v>194</v>
      </c>
      <c r="B19" s="525">
        <v>326</v>
      </c>
      <c r="C19" s="546">
        <f t="shared" si="0"/>
        <v>0.50582631227792518</v>
      </c>
      <c r="D19" s="547">
        <f>(B19-316)/316*100</f>
        <v>3.1645569620253164</v>
      </c>
      <c r="E19" s="525"/>
      <c r="F19" s="525">
        <v>441</v>
      </c>
      <c r="G19" s="546">
        <f t="shared" si="1"/>
        <v>0.61694716078398459</v>
      </c>
      <c r="H19" s="547">
        <f>(F19-495)/495*100</f>
        <v>-10.909090909090908</v>
      </c>
      <c r="I19" s="525"/>
      <c r="J19" s="525">
        <v>947</v>
      </c>
      <c r="K19" s="546">
        <f t="shared" si="2"/>
        <v>0.78962069856834349</v>
      </c>
      <c r="L19" s="547">
        <f>(J19-1073)/1073*100</f>
        <v>-11.742777260018638</v>
      </c>
    </row>
    <row r="20" spans="1:14" ht="10" customHeight="1">
      <c r="A20" s="526" t="s">
        <v>195</v>
      </c>
      <c r="B20" s="521">
        <v>17489</v>
      </c>
      <c r="C20" s="522">
        <f t="shared" si="0"/>
        <v>27.13618520070133</v>
      </c>
      <c r="D20" s="523">
        <f>(B20-18277)/18277*100</f>
        <v>-4.3114296657000599</v>
      </c>
      <c r="E20" s="521"/>
      <c r="F20" s="521">
        <v>20958</v>
      </c>
      <c r="G20" s="522">
        <f t="shared" si="1"/>
        <v>29.319679355353173</v>
      </c>
      <c r="H20" s="523">
        <f>(F20-22256)/22256*100</f>
        <v>-5.8321351545650613</v>
      </c>
      <c r="I20" s="521"/>
      <c r="J20" s="521">
        <v>50046</v>
      </c>
      <c r="K20" s="522">
        <f t="shared" si="2"/>
        <v>41.728994171648701</v>
      </c>
      <c r="L20" s="523">
        <f>(J20-53476)/53476*100</f>
        <v>-6.4140923030892356</v>
      </c>
      <c r="M20" s="527"/>
    </row>
    <row r="21" spans="1:14">
      <c r="A21" s="528" t="s">
        <v>196</v>
      </c>
      <c r="B21" s="516">
        <f>SUM(B16:B20)</f>
        <v>64449</v>
      </c>
      <c r="C21" s="522">
        <f t="shared" si="0"/>
        <v>100</v>
      </c>
      <c r="D21" s="518">
        <f>+(64449-62473)/62473*100</f>
        <v>3.1629664014854417</v>
      </c>
      <c r="E21" s="516"/>
      <c r="F21" s="516">
        <f>SUM(F16:F20)</f>
        <v>71481</v>
      </c>
      <c r="G21" s="522">
        <f t="shared" si="1"/>
        <v>100</v>
      </c>
      <c r="H21" s="518">
        <f>+(71481-72976)/72976*100</f>
        <v>-2.0486187239640428</v>
      </c>
      <c r="I21" s="516"/>
      <c r="J21" s="516">
        <f>SUM(J16:J20)</f>
        <v>119931</v>
      </c>
      <c r="K21" s="522">
        <f t="shared" si="2"/>
        <v>100</v>
      </c>
      <c r="L21" s="518">
        <f>(119931-125206)/125206*100</f>
        <v>-4.213056882258039</v>
      </c>
      <c r="M21" s="529"/>
    </row>
    <row r="22" spans="1:14" ht="3" customHeight="1">
      <c r="A22" s="519"/>
      <c r="B22" s="521"/>
      <c r="C22" s="521"/>
      <c r="D22" s="521"/>
      <c r="E22" s="521"/>
      <c r="F22" s="521"/>
      <c r="G22" s="521"/>
      <c r="H22" s="521"/>
      <c r="I22" s="521"/>
      <c r="J22" s="521"/>
      <c r="K22" s="521"/>
      <c r="L22" s="521"/>
    </row>
    <row r="23" spans="1:14" ht="10" customHeight="1">
      <c r="A23" s="519"/>
      <c r="B23" s="640" t="s">
        <v>197</v>
      </c>
      <c r="C23" s="640"/>
      <c r="D23" s="640"/>
      <c r="E23" s="640"/>
      <c r="F23" s="640"/>
      <c r="G23" s="640"/>
      <c r="H23" s="640"/>
      <c r="I23" s="640"/>
      <c r="J23" s="640"/>
      <c r="K23" s="640"/>
      <c r="L23" s="640"/>
    </row>
    <row r="24" spans="1:14" ht="3" customHeight="1">
      <c r="A24" s="519"/>
      <c r="B24" s="520"/>
      <c r="C24" s="520"/>
      <c r="D24" s="520"/>
      <c r="E24" s="520"/>
      <c r="F24" s="520"/>
      <c r="G24" s="520"/>
      <c r="H24" s="520"/>
      <c r="I24" s="520"/>
      <c r="J24" s="520"/>
      <c r="K24" s="520"/>
      <c r="L24" s="520"/>
    </row>
    <row r="25" spans="1:14">
      <c r="A25" s="530" t="s">
        <v>141</v>
      </c>
      <c r="B25" s="521">
        <v>9</v>
      </c>
      <c r="C25" s="522">
        <f>B25/$B$27*100</f>
        <v>0.51078320090805907</v>
      </c>
      <c r="D25" s="523">
        <f>(B25-17)/17*100</f>
        <v>-47.058823529411761</v>
      </c>
      <c r="E25" s="521"/>
      <c r="F25" s="521">
        <v>8</v>
      </c>
      <c r="G25" s="522">
        <f>F25/$F$27*100</f>
        <v>0.39960039960039961</v>
      </c>
      <c r="H25" s="523">
        <f>(F25-16)/16*100</f>
        <v>-50</v>
      </c>
      <c r="I25" s="521"/>
      <c r="J25" s="521">
        <v>12</v>
      </c>
      <c r="K25" s="522">
        <f>J25/$J$27*100</f>
        <v>0.70257611241217799</v>
      </c>
      <c r="L25" s="523">
        <f>(J25-14)/14*100</f>
        <v>-14.285714285714285</v>
      </c>
      <c r="N25" s="520"/>
    </row>
    <row r="26" spans="1:14">
      <c r="A26" s="531" t="s">
        <v>198</v>
      </c>
      <c r="B26" s="521">
        <v>1753</v>
      </c>
      <c r="C26" s="522">
        <f>B26/$B$27*100</f>
        <v>99.489216799091935</v>
      </c>
      <c r="D26" s="523">
        <f>(B26-1655)/1655*100</f>
        <v>5.9214501510574014</v>
      </c>
      <c r="E26" s="521"/>
      <c r="F26" s="521">
        <v>1994</v>
      </c>
      <c r="G26" s="522">
        <f>F26/$F$27*100</f>
        <v>99.600399600399598</v>
      </c>
      <c r="H26" s="523">
        <f>(F26-1802)/1802*100</f>
        <v>10.654827968923417</v>
      </c>
      <c r="I26" s="521"/>
      <c r="J26" s="521">
        <v>1696</v>
      </c>
      <c r="K26" s="522">
        <f>J26/$J$27*100</f>
        <v>99.297423887587826</v>
      </c>
      <c r="L26" s="523">
        <f>(J26-1944)/1944*100</f>
        <v>-12.757201646090536</v>
      </c>
    </row>
    <row r="27" spans="1:14">
      <c r="A27" s="515" t="s">
        <v>58</v>
      </c>
      <c r="B27" s="516">
        <v>1762</v>
      </c>
      <c r="C27" s="517">
        <v>100</v>
      </c>
      <c r="D27" s="518">
        <f>(B27-1672)/1672*100</f>
        <v>5.3827751196172251</v>
      </c>
      <c r="E27" s="516"/>
      <c r="F27" s="516">
        <v>2002</v>
      </c>
      <c r="G27" s="517">
        <v>100</v>
      </c>
      <c r="H27" s="518">
        <f>(F27-1818)/1818*100</f>
        <v>10.121012101210122</v>
      </c>
      <c r="I27" s="516"/>
      <c r="J27" s="516">
        <v>1708</v>
      </c>
      <c r="K27" s="517">
        <v>100</v>
      </c>
      <c r="L27" s="518">
        <f>(J27-1958)/1958*100</f>
        <v>-12.768130745658834</v>
      </c>
    </row>
    <row r="28" spans="1:14" s="532" customFormat="1" ht="3" customHeight="1">
      <c r="A28" s="519"/>
      <c r="B28" s="521"/>
      <c r="C28" s="521"/>
      <c r="D28" s="521"/>
      <c r="E28" s="521"/>
      <c r="F28" s="521"/>
      <c r="G28" s="521"/>
      <c r="H28" s="521"/>
      <c r="I28" s="521"/>
      <c r="J28" s="521"/>
      <c r="K28" s="521"/>
      <c r="L28" s="521"/>
    </row>
    <row r="29" spans="1:14" s="532" customFormat="1" ht="10" customHeight="1">
      <c r="A29" s="519"/>
      <c r="B29" s="640" t="s">
        <v>144</v>
      </c>
      <c r="C29" s="640"/>
      <c r="D29" s="640"/>
      <c r="E29" s="640"/>
      <c r="F29" s="640"/>
      <c r="G29" s="640"/>
      <c r="H29" s="640"/>
      <c r="I29" s="640"/>
      <c r="J29" s="640"/>
      <c r="K29" s="640"/>
      <c r="L29" s="640"/>
    </row>
    <row r="30" spans="1:14" s="532" customFormat="1" ht="3" customHeight="1">
      <c r="A30" s="519"/>
      <c r="B30" s="521"/>
      <c r="C30" s="521"/>
      <c r="D30" s="521"/>
      <c r="E30" s="521"/>
      <c r="F30" s="521"/>
      <c r="G30" s="521"/>
      <c r="H30" s="521"/>
      <c r="I30" s="521"/>
      <c r="J30" s="521"/>
      <c r="K30" s="521"/>
      <c r="L30" s="521"/>
    </row>
    <row r="31" spans="1:14" s="532" customFormat="1" ht="12">
      <c r="A31" s="519" t="s">
        <v>199</v>
      </c>
      <c r="B31" s="521">
        <v>4468</v>
      </c>
      <c r="C31" s="522">
        <f>B31/$B$34*100</f>
        <v>19.298548721492743</v>
      </c>
      <c r="D31" s="523">
        <f>(B31-4520)/4520*100</f>
        <v>-1.1504424778761062</v>
      </c>
      <c r="E31" s="521"/>
      <c r="F31" s="521">
        <v>4998</v>
      </c>
      <c r="G31" s="522">
        <f>F31/$F$34*100</f>
        <v>18.305010254907707</v>
      </c>
      <c r="H31" s="523">
        <f>(F31-4972)/4972*100</f>
        <v>0.52292839903459376</v>
      </c>
      <c r="I31" s="521"/>
      <c r="J31" s="521">
        <v>6808</v>
      </c>
      <c r="K31" s="522">
        <f>J31/$J$34*100</f>
        <v>18.472893037390786</v>
      </c>
      <c r="L31" s="523">
        <f>(J31-7383)/7383*100</f>
        <v>-7.7881619937694699</v>
      </c>
    </row>
    <row r="32" spans="1:14" s="532" customFormat="1" ht="12">
      <c r="A32" s="519" t="s">
        <v>200</v>
      </c>
      <c r="B32" s="521">
        <v>8674</v>
      </c>
      <c r="C32" s="522">
        <f t="shared" ref="C32" si="3">B32/$B$34*100</f>
        <v>37.465445749827232</v>
      </c>
      <c r="D32" s="523">
        <f>(B32-8953)/8953*100</f>
        <v>-3.1162738746788787</v>
      </c>
      <c r="E32" s="521"/>
      <c r="F32" s="521">
        <v>10266</v>
      </c>
      <c r="G32" s="522">
        <f>F32/$F$34*100</f>
        <v>37.598886610020507</v>
      </c>
      <c r="H32" s="523">
        <f>(F32-11382)/11382*100</f>
        <v>-9.8049551924090661</v>
      </c>
      <c r="I32" s="521"/>
      <c r="J32" s="521">
        <v>12690</v>
      </c>
      <c r="K32" s="522">
        <f t="shared" ref="K32:K33" si="4">J32/$J$34*100</f>
        <v>34.433168719813317</v>
      </c>
      <c r="L32" s="523">
        <f>(J32-14251)/14251*100</f>
        <v>-10.953617290014735</v>
      </c>
    </row>
    <row r="33" spans="1:12" s="532" customFormat="1" ht="12">
      <c r="A33" s="519" t="s">
        <v>201</v>
      </c>
      <c r="B33" s="521">
        <v>10010</v>
      </c>
      <c r="C33" s="522">
        <f>B33/$B$34*100</f>
        <v>43.236005528680025</v>
      </c>
      <c r="D33" s="523">
        <f>(B33-9990)/9990*100</f>
        <v>0.20020020020020018</v>
      </c>
      <c r="E33" s="521"/>
      <c r="F33" s="521">
        <v>12040</v>
      </c>
      <c r="G33" s="522">
        <f t="shared" ref="G33" si="5">F33/$F$34*100</f>
        <v>44.096103135071786</v>
      </c>
      <c r="H33" s="523">
        <f>(F33-13694)/13694*100</f>
        <v>-12.078282459471302</v>
      </c>
      <c r="I33" s="521"/>
      <c r="J33" s="521">
        <v>17356</v>
      </c>
      <c r="K33" s="522">
        <f t="shared" si="4"/>
        <v>47.093938242795893</v>
      </c>
      <c r="L33" s="523">
        <f>(J33-19416)/19416*100</f>
        <v>-10.609806345282241</v>
      </c>
    </row>
    <row r="34" spans="1:12" s="532" customFormat="1" ht="12">
      <c r="A34" s="515" t="s">
        <v>58</v>
      </c>
      <c r="B34" s="516">
        <v>23152</v>
      </c>
      <c r="C34" s="517">
        <v>100</v>
      </c>
      <c r="D34" s="518">
        <f>(B34-23463)/23463*100</f>
        <v>-1.3254911989089204</v>
      </c>
      <c r="E34" s="516"/>
      <c r="F34" s="516">
        <v>27304</v>
      </c>
      <c r="G34" s="517">
        <v>100</v>
      </c>
      <c r="H34" s="518">
        <f>(F34-30048)/30048*100</f>
        <v>-9.1320553780617679</v>
      </c>
      <c r="I34" s="516"/>
      <c r="J34" s="516">
        <v>36854</v>
      </c>
      <c r="K34" s="517">
        <v>100</v>
      </c>
      <c r="L34" s="518">
        <f>(J34-41050)/41050*100</f>
        <v>-10.221680876979294</v>
      </c>
    </row>
    <row r="35" spans="1:12" s="532" customFormat="1" ht="3" customHeight="1">
      <c r="A35" s="519"/>
      <c r="B35" s="533"/>
      <c r="C35" s="521"/>
      <c r="D35" s="521"/>
      <c r="E35" s="521"/>
      <c r="F35" s="521"/>
      <c r="G35" s="521"/>
      <c r="H35" s="521"/>
      <c r="I35" s="521"/>
      <c r="J35" s="521"/>
      <c r="K35" s="521"/>
      <c r="L35" s="523">
        <f t="shared" ref="L35" si="6">(J35-7778)/7778*100</f>
        <v>-100</v>
      </c>
    </row>
    <row r="36" spans="1:12" s="532" customFormat="1" ht="10" customHeight="1">
      <c r="A36" s="519"/>
      <c r="B36" s="640" t="s">
        <v>121</v>
      </c>
      <c r="C36" s="640"/>
      <c r="D36" s="640"/>
      <c r="E36" s="640"/>
      <c r="F36" s="640"/>
      <c r="G36" s="640"/>
      <c r="H36" s="640"/>
      <c r="I36" s="640"/>
      <c r="J36" s="640"/>
      <c r="K36" s="640"/>
      <c r="L36" s="640"/>
    </row>
    <row r="37" spans="1:12" s="532" customFormat="1" ht="3" customHeight="1">
      <c r="A37" s="519"/>
      <c r="B37" s="533"/>
      <c r="C37" s="521"/>
      <c r="D37" s="521"/>
      <c r="E37" s="521"/>
      <c r="F37" s="521"/>
      <c r="G37" s="521"/>
      <c r="H37" s="521"/>
      <c r="I37" s="521"/>
      <c r="J37" s="521"/>
      <c r="K37" s="521"/>
      <c r="L37" s="521"/>
    </row>
    <row r="38" spans="1:12" s="532" customFormat="1" ht="12">
      <c r="A38" s="519" t="s">
        <v>202</v>
      </c>
      <c r="B38" s="534">
        <v>2936</v>
      </c>
      <c r="C38" s="522">
        <f>B38/$B$40*100</f>
        <v>68.598130841121502</v>
      </c>
      <c r="D38" s="523">
        <f>(B38-4635)/4635*100</f>
        <v>-36.655879180151025</v>
      </c>
      <c r="E38" s="534"/>
      <c r="F38" s="534">
        <v>3744</v>
      </c>
      <c r="G38" s="522">
        <f>F38/$F$40*100</f>
        <v>72.208293153326906</v>
      </c>
      <c r="H38" s="523">
        <f>(F38-5569)/5569*100</f>
        <v>-32.770694918297721</v>
      </c>
      <c r="I38" s="534"/>
      <c r="J38" s="534">
        <v>1740</v>
      </c>
      <c r="K38" s="522">
        <f>J38/$J$40*100</f>
        <v>66.564651874521815</v>
      </c>
      <c r="L38" s="523">
        <f>(J38-2593)/2593*100</f>
        <v>-32.896259159274969</v>
      </c>
    </row>
    <row r="39" spans="1:12" s="532" customFormat="1" ht="23.25" customHeight="1">
      <c r="A39" s="535" t="s">
        <v>203</v>
      </c>
      <c r="B39" s="534">
        <v>1344</v>
      </c>
      <c r="C39" s="522">
        <f>B39/$B$40*100</f>
        <v>31.401869158878505</v>
      </c>
      <c r="D39" s="523">
        <f>(B39-1707)/1707*100</f>
        <v>-21.265377855887522</v>
      </c>
      <c r="E39" s="536"/>
      <c r="F39" s="534">
        <v>1441</v>
      </c>
      <c r="G39" s="522">
        <f>F39/$F$40*100</f>
        <v>27.791706846673097</v>
      </c>
      <c r="H39" s="523">
        <f>(F39-1875)/1875*100</f>
        <v>-23.146666666666665</v>
      </c>
      <c r="I39" s="521"/>
      <c r="J39" s="521">
        <v>874</v>
      </c>
      <c r="K39" s="522">
        <f>J39/$J$40*100</f>
        <v>33.435348125478193</v>
      </c>
      <c r="L39" s="523">
        <f>(J39-1035)/1035*100</f>
        <v>-15.555555555555555</v>
      </c>
    </row>
    <row r="40" spans="1:12">
      <c r="A40" s="515" t="s">
        <v>58</v>
      </c>
      <c r="B40" s="537">
        <v>4280</v>
      </c>
      <c r="C40" s="517">
        <v>100</v>
      </c>
      <c r="D40" s="518">
        <f>(B40-6342)/6342*100</f>
        <v>-32.513402712078211</v>
      </c>
      <c r="E40" s="537"/>
      <c r="F40" s="537">
        <v>5185</v>
      </c>
      <c r="G40" s="517">
        <v>100</v>
      </c>
      <c r="H40" s="518">
        <f>(F40-7444)/7444*100</f>
        <v>-30.346587855991402</v>
      </c>
      <c r="I40" s="537"/>
      <c r="J40" s="516">
        <v>2614</v>
      </c>
      <c r="K40" s="517">
        <v>100</v>
      </c>
      <c r="L40" s="518">
        <f>(J40-3628)/3628*100</f>
        <v>-27.949283351708932</v>
      </c>
    </row>
    <row r="41" spans="1:12" ht="15" customHeight="1">
      <c r="A41" s="515"/>
      <c r="B41" s="538"/>
      <c r="C41" s="539"/>
      <c r="D41" s="539"/>
      <c r="E41" s="539"/>
      <c r="F41" s="539"/>
      <c r="G41" s="539"/>
      <c r="H41" s="539"/>
      <c r="I41" s="539"/>
      <c r="J41" s="539"/>
      <c r="K41" s="539"/>
      <c r="L41" s="539"/>
    </row>
    <row r="42" spans="1:12">
      <c r="A42" s="511" t="s">
        <v>204</v>
      </c>
      <c r="B42" s="540">
        <v>89354</v>
      </c>
      <c r="C42" s="522">
        <f>B42/$B$44*100</f>
        <v>95.419839176446715</v>
      </c>
      <c r="D42" s="523">
        <v>1.8</v>
      </c>
      <c r="E42" s="533"/>
      <c r="F42" s="534">
        <v>100779</v>
      </c>
      <c r="G42" s="522">
        <f>F42/$F$44*100</f>
        <v>95.099648963877243</v>
      </c>
      <c r="H42" s="523">
        <v>-4.0999999999999996</v>
      </c>
      <c r="I42" s="521"/>
      <c r="J42" s="534">
        <v>158481</v>
      </c>
      <c r="K42" s="522">
        <f>J42/$J$44*100</f>
        <v>98.370027373112279</v>
      </c>
      <c r="L42" s="523">
        <v>-6.1</v>
      </c>
    </row>
    <row r="43" spans="1:12" ht="15" customHeight="1">
      <c r="A43" s="511" t="s">
        <v>205</v>
      </c>
      <c r="B43" s="521">
        <v>4289</v>
      </c>
      <c r="C43" s="522">
        <f>B43/$B$44*100</f>
        <v>4.5801608235532827</v>
      </c>
      <c r="D43" s="523">
        <f>(B43-6359)/6359*100</f>
        <v>-32.552288095612518</v>
      </c>
      <c r="E43" s="521"/>
      <c r="F43" s="521">
        <v>5193</v>
      </c>
      <c r="G43" s="522">
        <f>F43/$F$44*100</f>
        <v>4.9003510361227489</v>
      </c>
      <c r="H43" s="523">
        <f>(F43-7460)/7460*100</f>
        <v>-30.388739946380699</v>
      </c>
      <c r="I43" s="521"/>
      <c r="J43" s="521">
        <v>2626</v>
      </c>
      <c r="K43" s="522">
        <f>J43/$J$44*100</f>
        <v>1.6299726268877206</v>
      </c>
      <c r="L43" s="523">
        <f>(J43-3642)/3642*100</f>
        <v>-27.896760021965957</v>
      </c>
    </row>
    <row r="44" spans="1:12">
      <c r="A44" s="541" t="s">
        <v>206</v>
      </c>
      <c r="B44" s="516">
        <f>SUM(B42:B43)</f>
        <v>93643</v>
      </c>
      <c r="C44" s="517">
        <v>100</v>
      </c>
      <c r="D44" s="518">
        <v>-0.5</v>
      </c>
      <c r="E44" s="516"/>
      <c r="F44" s="516">
        <f>SUM(F42:F43)</f>
        <v>105972</v>
      </c>
      <c r="G44" s="517">
        <v>100</v>
      </c>
      <c r="H44" s="518">
        <v>-5.8</v>
      </c>
      <c r="I44" s="516"/>
      <c r="J44" s="516">
        <f>SUM(J42:J43)</f>
        <v>161107</v>
      </c>
      <c r="K44" s="517">
        <v>100</v>
      </c>
      <c r="L44" s="518">
        <v>-6.5</v>
      </c>
    </row>
    <row r="45" spans="1:12" ht="3" customHeight="1">
      <c r="A45" s="542"/>
      <c r="B45" s="543"/>
      <c r="C45" s="543"/>
      <c r="D45" s="543"/>
      <c r="E45" s="543"/>
      <c r="F45" s="543"/>
      <c r="G45" s="544"/>
      <c r="H45" s="544"/>
      <c r="I45" s="544"/>
      <c r="J45" s="543"/>
      <c r="K45" s="544"/>
      <c r="L45" s="544"/>
    </row>
    <row r="46" spans="1:12" ht="5.15" customHeight="1">
      <c r="A46" s="509"/>
      <c r="B46" s="509"/>
      <c r="C46" s="509"/>
      <c r="D46" s="509"/>
      <c r="E46" s="509"/>
      <c r="F46" s="509"/>
      <c r="G46" s="545"/>
      <c r="H46" s="545"/>
      <c r="I46" s="545"/>
      <c r="J46" s="545"/>
      <c r="K46" s="545"/>
      <c r="L46" s="545"/>
    </row>
    <row r="47" spans="1:12" ht="20.149999999999999" customHeight="1">
      <c r="A47" s="631" t="s">
        <v>207</v>
      </c>
      <c r="B47" s="631"/>
      <c r="C47" s="631"/>
      <c r="D47" s="631"/>
      <c r="E47" s="631"/>
      <c r="F47" s="631"/>
      <c r="G47" s="631"/>
      <c r="H47" s="631"/>
      <c r="I47" s="631"/>
      <c r="J47" s="631"/>
      <c r="K47" s="631"/>
      <c r="L47" s="631"/>
    </row>
    <row r="48" spans="1:12" ht="20.149999999999999" customHeight="1">
      <c r="A48" s="631" t="s">
        <v>208</v>
      </c>
      <c r="B48" s="630"/>
      <c r="C48" s="630"/>
      <c r="D48" s="630"/>
      <c r="E48" s="630"/>
      <c r="F48" s="630"/>
      <c r="G48" s="630"/>
      <c r="H48" s="630"/>
      <c r="I48" s="630"/>
      <c r="J48" s="630"/>
      <c r="K48" s="630"/>
      <c r="L48" s="630"/>
    </row>
    <row r="49" spans="1:12" ht="19.5" customHeight="1">
      <c r="A49" s="631" t="s">
        <v>209</v>
      </c>
      <c r="B49" s="630"/>
      <c r="C49" s="630"/>
      <c r="D49" s="630"/>
      <c r="E49" s="630"/>
      <c r="F49" s="630"/>
      <c r="G49" s="630"/>
      <c r="H49" s="630"/>
      <c r="I49" s="630"/>
      <c r="J49" s="630"/>
      <c r="K49" s="630"/>
      <c r="L49" s="630"/>
    </row>
    <row r="50" spans="1:12" ht="30.75" customHeight="1">
      <c r="A50" s="630" t="s">
        <v>210</v>
      </c>
      <c r="B50" s="630"/>
      <c r="C50" s="630"/>
      <c r="D50" s="630"/>
      <c r="E50" s="630"/>
      <c r="F50" s="630"/>
      <c r="G50" s="630"/>
      <c r="H50" s="630"/>
      <c r="I50" s="630"/>
      <c r="J50" s="630"/>
      <c r="K50" s="630"/>
      <c r="L50" s="630"/>
    </row>
    <row r="51" spans="1:12" ht="19.5" customHeight="1">
      <c r="A51" s="632" t="s">
        <v>211</v>
      </c>
      <c r="B51" s="633"/>
      <c r="C51" s="633"/>
      <c r="D51" s="633"/>
      <c r="E51" s="633"/>
      <c r="F51" s="633"/>
      <c r="G51" s="633"/>
      <c r="H51" s="633"/>
      <c r="I51" s="633"/>
      <c r="J51" s="633"/>
      <c r="K51" s="633"/>
      <c r="L51" s="633"/>
    </row>
    <row r="52" spans="1:12" ht="20.149999999999999" customHeight="1">
      <c r="A52" s="632" t="s">
        <v>212</v>
      </c>
      <c r="B52" s="633"/>
      <c r="C52" s="633"/>
      <c r="D52" s="633"/>
      <c r="E52" s="633"/>
      <c r="F52" s="633"/>
      <c r="G52" s="633"/>
      <c r="H52" s="633"/>
      <c r="I52" s="633"/>
      <c r="J52" s="633"/>
      <c r="K52" s="633"/>
      <c r="L52" s="633"/>
    </row>
    <row r="53" spans="1:12" ht="36.75" customHeight="1">
      <c r="A53" s="632" t="s">
        <v>213</v>
      </c>
      <c r="B53" s="633"/>
      <c r="C53" s="633"/>
      <c r="D53" s="633"/>
      <c r="E53" s="633"/>
      <c r="F53" s="633"/>
      <c r="G53" s="633"/>
      <c r="H53" s="633"/>
      <c r="I53" s="633"/>
      <c r="J53" s="633"/>
      <c r="K53" s="633"/>
      <c r="L53" s="633"/>
    </row>
    <row r="54" spans="1:12" ht="28.5" customHeight="1">
      <c r="A54" s="621" t="s">
        <v>214</v>
      </c>
      <c r="B54" s="621"/>
      <c r="C54" s="621"/>
      <c r="D54" s="621"/>
      <c r="E54" s="621"/>
      <c r="F54" s="621"/>
      <c r="G54" s="621"/>
      <c r="H54" s="621"/>
      <c r="I54" s="621"/>
      <c r="J54" s="621"/>
      <c r="K54" s="621"/>
      <c r="L54" s="621"/>
    </row>
    <row r="55" spans="1:12" ht="29.25" customHeight="1">
      <c r="A55" s="630" t="s">
        <v>215</v>
      </c>
      <c r="B55" s="630"/>
      <c r="C55" s="630"/>
      <c r="D55" s="630"/>
      <c r="E55" s="630"/>
      <c r="F55" s="630"/>
      <c r="G55" s="630"/>
      <c r="H55" s="630"/>
      <c r="I55" s="630"/>
      <c r="J55" s="630"/>
      <c r="K55" s="630"/>
      <c r="L55" s="630"/>
    </row>
    <row r="56" spans="1:12" ht="25.5" customHeight="1">
      <c r="A56" s="631" t="s">
        <v>216</v>
      </c>
      <c r="B56" s="630"/>
      <c r="C56" s="630"/>
      <c r="D56" s="630"/>
      <c r="E56" s="630"/>
      <c r="F56" s="630"/>
      <c r="G56" s="630"/>
      <c r="H56" s="630"/>
      <c r="I56" s="630"/>
      <c r="J56" s="630"/>
      <c r="K56" s="630"/>
      <c r="L56" s="630"/>
    </row>
    <row r="57" spans="1:12" ht="19.5" customHeight="1">
      <c r="A57" s="631" t="s">
        <v>217</v>
      </c>
      <c r="B57" s="630"/>
      <c r="C57" s="630"/>
      <c r="D57" s="630"/>
      <c r="E57" s="630"/>
      <c r="F57" s="630"/>
      <c r="G57" s="630"/>
      <c r="H57" s="630"/>
      <c r="I57" s="630"/>
      <c r="J57" s="630"/>
      <c r="K57" s="630"/>
      <c r="L57" s="630"/>
    </row>
  </sheetData>
  <mergeCells count="20">
    <mergeCell ref="A48:L48"/>
    <mergeCell ref="A8:A9"/>
    <mergeCell ref="B8:D8"/>
    <mergeCell ref="F8:H8"/>
    <mergeCell ref="J8:L8"/>
    <mergeCell ref="B11:L11"/>
    <mergeCell ref="B14:L14"/>
    <mergeCell ref="B23:L23"/>
    <mergeCell ref="B29:L29"/>
    <mergeCell ref="B36:L36"/>
    <mergeCell ref="A47:L47"/>
    <mergeCell ref="A55:L55"/>
    <mergeCell ref="A56:L56"/>
    <mergeCell ref="A57:L57"/>
    <mergeCell ref="A49:L49"/>
    <mergeCell ref="A50:L50"/>
    <mergeCell ref="A51:L51"/>
    <mergeCell ref="A52:L52"/>
    <mergeCell ref="A53:L53"/>
    <mergeCell ref="A54:L54"/>
  </mergeCells>
  <pageMargins left="0.7" right="0.7" top="0.75" bottom="0.75" header="0.3" footer="0.3"/>
  <pageSetup paperSize="9" scale="5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83"/>
  <sheetViews>
    <sheetView zoomScaleNormal="100" workbookViewId="0">
      <selection activeCell="A4" sqref="A4"/>
    </sheetView>
  </sheetViews>
  <sheetFormatPr defaultColWidth="8.81640625" defaultRowHeight="14.5"/>
  <cols>
    <col min="1" max="1" width="23.7265625" customWidth="1"/>
    <col min="2" max="2" width="10.7265625" customWidth="1"/>
    <col min="3" max="3" width="20.1796875" customWidth="1"/>
    <col min="4" max="4" width="0.81640625" customWidth="1"/>
    <col min="5" max="6" width="10.7265625" customWidth="1"/>
    <col min="7" max="7" width="0.81640625" customWidth="1"/>
    <col min="8" max="9" width="10.7265625" customWidth="1"/>
  </cols>
  <sheetData>
    <row r="1" spans="1:9" ht="12.75" customHeight="1"/>
    <row r="2" spans="1:9" ht="12.75" customHeight="1"/>
    <row r="3" spans="1:9" ht="12.75" customHeight="1"/>
    <row r="4" spans="1:9" s="159" customFormat="1" ht="12" customHeight="1">
      <c r="A4" s="158" t="s">
        <v>14</v>
      </c>
    </row>
    <row r="5" spans="1:9" s="159" customFormat="1" ht="12" customHeight="1">
      <c r="A5" s="160" t="s">
        <v>218</v>
      </c>
    </row>
    <row r="6" spans="1:9" s="159" customFormat="1" ht="12" customHeight="1">
      <c r="A6" s="159" t="s">
        <v>11</v>
      </c>
    </row>
    <row r="7" spans="1:9" s="162" customFormat="1" ht="6" customHeight="1">
      <c r="A7" s="161"/>
      <c r="D7" s="163"/>
      <c r="G7" s="163"/>
      <c r="H7" s="164"/>
      <c r="I7" s="164"/>
    </row>
    <row r="8" spans="1:9" s="162" customFormat="1" ht="12" customHeight="1">
      <c r="A8" s="598" t="s">
        <v>219</v>
      </c>
      <c r="B8" s="600" t="s">
        <v>220</v>
      </c>
      <c r="C8" s="600"/>
      <c r="D8" s="573"/>
      <c r="E8" s="600" t="s">
        <v>221</v>
      </c>
      <c r="F8" s="600"/>
      <c r="G8" s="573"/>
      <c r="H8" s="600" t="s">
        <v>222</v>
      </c>
      <c r="I8" s="600"/>
    </row>
    <row r="9" spans="1:9" s="162" customFormat="1" ht="30" customHeight="1">
      <c r="A9" s="599"/>
      <c r="B9" s="165" t="s">
        <v>104</v>
      </c>
      <c r="C9" s="165" t="s">
        <v>223</v>
      </c>
      <c r="D9" s="165"/>
      <c r="E9" s="165" t="s">
        <v>104</v>
      </c>
      <c r="F9" s="165" t="s">
        <v>223</v>
      </c>
      <c r="G9" s="165"/>
      <c r="H9" s="165" t="s">
        <v>224</v>
      </c>
      <c r="I9" s="165" t="s">
        <v>225</v>
      </c>
    </row>
    <row r="10" spans="1:9" s="162" customFormat="1" ht="3" customHeight="1">
      <c r="A10" s="166"/>
      <c r="B10" s="167"/>
      <c r="C10" s="167"/>
      <c r="D10" s="167"/>
      <c r="E10" s="167"/>
      <c r="F10" s="167"/>
      <c r="G10" s="167"/>
      <c r="H10" s="166"/>
      <c r="I10" s="166"/>
    </row>
    <row r="11" spans="1:9" s="162" customFormat="1" ht="10" customHeight="1">
      <c r="A11" s="168">
        <v>2019</v>
      </c>
      <c r="B11" s="169">
        <v>349392</v>
      </c>
      <c r="C11" s="169">
        <v>352942</v>
      </c>
      <c r="E11" s="169">
        <v>63570</v>
      </c>
      <c r="F11" s="169">
        <v>200161</v>
      </c>
      <c r="G11" s="169"/>
      <c r="H11" s="169">
        <f t="shared" ref="H11:I12" si="0">B11+E11</f>
        <v>412962</v>
      </c>
      <c r="I11" s="169">
        <f t="shared" si="0"/>
        <v>553103</v>
      </c>
    </row>
    <row r="12" spans="1:9" s="162" customFormat="1" ht="10" customHeight="1">
      <c r="A12" s="168">
        <v>2020</v>
      </c>
      <c r="B12" s="169">
        <v>231196</v>
      </c>
      <c r="C12" s="169">
        <v>189193</v>
      </c>
      <c r="E12" s="169">
        <v>21835</v>
      </c>
      <c r="F12" s="169">
        <v>65345</v>
      </c>
      <c r="G12" s="169"/>
      <c r="H12" s="169">
        <f t="shared" si="0"/>
        <v>253031</v>
      </c>
      <c r="I12" s="169">
        <f t="shared" si="0"/>
        <v>254538</v>
      </c>
    </row>
    <row r="13" spans="1:9" s="162" customFormat="1" ht="10" customHeight="1">
      <c r="A13" s="168">
        <v>2021</v>
      </c>
      <c r="B13" s="169">
        <v>254315</v>
      </c>
      <c r="C13" s="169">
        <v>200978</v>
      </c>
      <c r="E13" s="169">
        <v>22161</v>
      </c>
      <c r="F13" s="169">
        <v>73589</v>
      </c>
      <c r="G13" s="169"/>
      <c r="H13" s="169">
        <v>276476</v>
      </c>
      <c r="I13" s="169">
        <v>274567</v>
      </c>
    </row>
    <row r="14" spans="1:9" ht="9.75" customHeight="1">
      <c r="A14" s="168">
        <v>2022</v>
      </c>
      <c r="B14" s="169">
        <v>224899</v>
      </c>
      <c r="C14" s="169">
        <v>157077</v>
      </c>
      <c r="D14" s="162"/>
      <c r="E14" s="169">
        <v>30303</v>
      </c>
      <c r="F14" s="169">
        <v>85147</v>
      </c>
      <c r="G14" s="169"/>
      <c r="H14" s="169">
        <v>255202</v>
      </c>
      <c r="I14" s="169">
        <v>242223</v>
      </c>
    </row>
    <row r="15" spans="1:9" ht="9.75" customHeight="1">
      <c r="A15" s="168">
        <v>2023</v>
      </c>
      <c r="B15" s="169">
        <v>200764</v>
      </c>
      <c r="C15" s="169">
        <v>156822.35657999999</v>
      </c>
      <c r="D15" s="162"/>
      <c r="E15" s="169">
        <v>24260</v>
      </c>
      <c r="F15" s="169">
        <v>82548.75619</v>
      </c>
      <c r="G15" s="169"/>
      <c r="H15" s="169">
        <v>225024</v>
      </c>
      <c r="I15" s="169">
        <v>239371.11277000001</v>
      </c>
    </row>
    <row r="16" spans="1:9" s="162" customFormat="1" ht="4" customHeight="1">
      <c r="A16" s="170"/>
      <c r="B16" s="171"/>
      <c r="C16" s="171"/>
      <c r="D16" s="171"/>
      <c r="E16" s="171"/>
      <c r="F16" s="171"/>
      <c r="G16" s="171"/>
      <c r="H16" s="171"/>
      <c r="I16" s="171"/>
    </row>
    <row r="17" spans="1:9" s="162" customFormat="1" ht="10" customHeight="1">
      <c r="B17" s="597" t="s">
        <v>107</v>
      </c>
      <c r="C17" s="597"/>
      <c r="D17" s="597"/>
      <c r="E17" s="597"/>
      <c r="F17" s="597"/>
      <c r="G17" s="597"/>
      <c r="H17" s="597"/>
      <c r="I17" s="597"/>
    </row>
    <row r="18" spans="1:9" s="162" customFormat="1" ht="3.75" customHeight="1">
      <c r="A18" s="147"/>
      <c r="D18" s="172"/>
      <c r="G18" s="172"/>
      <c r="H18" s="172"/>
      <c r="I18" s="172"/>
    </row>
    <row r="19" spans="1:9" s="162" customFormat="1" ht="10" customHeight="1">
      <c r="A19" s="162" t="s">
        <v>226</v>
      </c>
      <c r="B19" s="169">
        <v>9455</v>
      </c>
      <c r="C19" s="169">
        <v>6747.1108400000003</v>
      </c>
      <c r="E19" s="169">
        <v>75</v>
      </c>
      <c r="F19" s="169">
        <v>314.07112000000001</v>
      </c>
      <c r="H19" s="169">
        <v>9530</v>
      </c>
      <c r="I19" s="169">
        <v>7061.1819599999999</v>
      </c>
    </row>
    <row r="20" spans="1:9" s="162" customFormat="1" ht="10" customHeight="1">
      <c r="A20" s="162" t="s">
        <v>227</v>
      </c>
      <c r="B20" s="174">
        <v>142</v>
      </c>
      <c r="C20" s="174">
        <v>114.47703</v>
      </c>
      <c r="E20" s="174" t="s">
        <v>228</v>
      </c>
      <c r="F20" s="174" t="s">
        <v>228</v>
      </c>
      <c r="G20" s="173"/>
      <c r="H20" s="174">
        <v>142</v>
      </c>
      <c r="I20" s="174">
        <v>114.47703</v>
      </c>
    </row>
    <row r="21" spans="1:9" s="162" customFormat="1" ht="10" customHeight="1">
      <c r="A21" s="162" t="s">
        <v>229</v>
      </c>
      <c r="B21" s="169">
        <v>3516</v>
      </c>
      <c r="C21" s="169">
        <v>1218.6434400000001</v>
      </c>
      <c r="E21" s="174" t="s">
        <v>228</v>
      </c>
      <c r="F21" s="174" t="s">
        <v>228</v>
      </c>
      <c r="H21" s="169">
        <v>3516</v>
      </c>
      <c r="I21" s="169">
        <v>1218.6434400000001</v>
      </c>
    </row>
    <row r="22" spans="1:9" s="162" customFormat="1" ht="10" customHeight="1">
      <c r="A22" s="162" t="s">
        <v>230</v>
      </c>
      <c r="B22" s="174">
        <v>48087</v>
      </c>
      <c r="C22" s="174">
        <v>40143.698109999998</v>
      </c>
      <c r="E22" s="169">
        <v>6117</v>
      </c>
      <c r="F22" s="169">
        <v>20237.83383</v>
      </c>
      <c r="H22" s="169">
        <v>54204</v>
      </c>
      <c r="I22" s="169">
        <v>60381.531940000001</v>
      </c>
    </row>
    <row r="23" spans="1:9" s="162" customFormat="1" ht="10" customHeight="1">
      <c r="A23" s="162" t="s">
        <v>231</v>
      </c>
      <c r="B23" s="169">
        <v>680</v>
      </c>
      <c r="C23" s="169">
        <v>564.95201999999995</v>
      </c>
      <c r="E23" s="169">
        <v>1</v>
      </c>
      <c r="F23" s="169">
        <v>12</v>
      </c>
      <c r="H23" s="169">
        <v>681</v>
      </c>
      <c r="I23" s="169">
        <v>576.95201999999995</v>
      </c>
    </row>
    <row r="24" spans="1:9" s="175" customFormat="1" ht="10" customHeight="1">
      <c r="A24" s="175" t="s">
        <v>232</v>
      </c>
      <c r="B24" s="174">
        <v>275</v>
      </c>
      <c r="C24" s="174">
        <v>95.499830000000003</v>
      </c>
      <c r="E24" s="174" t="s">
        <v>228</v>
      </c>
      <c r="F24" s="174" t="s">
        <v>228</v>
      </c>
      <c r="H24" s="169">
        <v>275</v>
      </c>
      <c r="I24" s="169">
        <v>95.499830000000003</v>
      </c>
    </row>
    <row r="25" spans="1:9" s="175" customFormat="1" ht="10" customHeight="1">
      <c r="A25" s="175" t="s">
        <v>75</v>
      </c>
      <c r="B25" s="169">
        <v>405</v>
      </c>
      <c r="C25" s="169">
        <v>469.45218999999997</v>
      </c>
      <c r="E25" s="169">
        <v>1</v>
      </c>
      <c r="F25" s="169">
        <v>12</v>
      </c>
      <c r="H25" s="169">
        <v>406</v>
      </c>
      <c r="I25" s="169">
        <v>481.45218999999997</v>
      </c>
    </row>
    <row r="26" spans="1:9" s="162" customFormat="1" ht="10" customHeight="1">
      <c r="A26" s="162" t="s">
        <v>233</v>
      </c>
      <c r="B26" s="174">
        <v>7206</v>
      </c>
      <c r="C26" s="174">
        <v>4988.8881799999999</v>
      </c>
      <c r="E26" s="169">
        <v>46</v>
      </c>
      <c r="F26" s="169">
        <v>245.89924999999999</v>
      </c>
      <c r="H26" s="169">
        <v>7252</v>
      </c>
      <c r="I26" s="169">
        <v>5234.7874300000003</v>
      </c>
    </row>
    <row r="27" spans="1:9" s="162" customFormat="1" ht="10" customHeight="1">
      <c r="A27" s="162" t="s">
        <v>234</v>
      </c>
      <c r="B27" s="169">
        <v>1594</v>
      </c>
      <c r="C27" s="169">
        <v>1265.29142</v>
      </c>
      <c r="E27" s="174" t="s">
        <v>228</v>
      </c>
      <c r="F27" s="174" t="s">
        <v>228</v>
      </c>
      <c r="H27" s="169">
        <v>1594</v>
      </c>
      <c r="I27" s="169">
        <v>1265.29142</v>
      </c>
    </row>
    <row r="28" spans="1:9" s="162" customFormat="1" ht="10" customHeight="1">
      <c r="A28" s="162" t="s">
        <v>235</v>
      </c>
      <c r="B28" s="174">
        <v>8994</v>
      </c>
      <c r="C28" s="174">
        <v>5030.3046700000004</v>
      </c>
      <c r="E28" s="169">
        <v>103</v>
      </c>
      <c r="F28" s="169">
        <v>620.65956000000006</v>
      </c>
      <c r="H28" s="169">
        <v>9097</v>
      </c>
      <c r="I28" s="169">
        <v>5650.9642299999996</v>
      </c>
    </row>
    <row r="29" spans="1:9" s="162" customFormat="1" ht="10" customHeight="1">
      <c r="A29" s="162" t="s">
        <v>236</v>
      </c>
      <c r="B29" s="169">
        <v>9775</v>
      </c>
      <c r="C29" s="169">
        <v>6910.1126700000004</v>
      </c>
      <c r="E29" s="169">
        <v>193</v>
      </c>
      <c r="F29" s="169">
        <v>1032.1192699999999</v>
      </c>
      <c r="H29" s="169">
        <v>9968</v>
      </c>
      <c r="I29" s="169">
        <v>7942.2319399999997</v>
      </c>
    </row>
    <row r="30" spans="1:9" s="162" customFormat="1" ht="10" customHeight="1">
      <c r="A30" s="162" t="s">
        <v>237</v>
      </c>
      <c r="B30" s="174">
        <v>2103</v>
      </c>
      <c r="C30" s="174">
        <v>1723.3858600000001</v>
      </c>
      <c r="E30" s="169">
        <v>29</v>
      </c>
      <c r="F30" s="169">
        <v>148.72964999999999</v>
      </c>
      <c r="H30" s="169">
        <v>2132</v>
      </c>
      <c r="I30" s="169">
        <v>1872.1155100000001</v>
      </c>
    </row>
    <row r="31" spans="1:9" s="162" customFormat="1" ht="10" customHeight="1">
      <c r="A31" s="162" t="s">
        <v>238</v>
      </c>
      <c r="B31" s="169">
        <v>3079</v>
      </c>
      <c r="C31" s="169">
        <v>2256.7233999999999</v>
      </c>
      <c r="E31" s="169">
        <v>2</v>
      </c>
      <c r="F31" s="169">
        <v>21.688110000000002</v>
      </c>
      <c r="H31" s="169">
        <v>3081</v>
      </c>
      <c r="I31" s="169">
        <v>2278.4115099999999</v>
      </c>
    </row>
    <row r="32" spans="1:9" s="162" customFormat="1" ht="10" customHeight="1">
      <c r="A32" s="162" t="s">
        <v>239</v>
      </c>
      <c r="B32" s="174">
        <v>23287</v>
      </c>
      <c r="C32" s="174">
        <v>28905.479650000001</v>
      </c>
      <c r="E32" s="169">
        <v>17569</v>
      </c>
      <c r="F32" s="169">
        <v>52712.500099999997</v>
      </c>
      <c r="H32" s="169">
        <v>40856</v>
      </c>
      <c r="I32" s="169">
        <v>81617.979749999999</v>
      </c>
    </row>
    <row r="33" spans="1:9" s="162" customFormat="1" ht="10" customHeight="1">
      <c r="A33" s="162" t="s">
        <v>240</v>
      </c>
      <c r="B33" s="169">
        <v>4298</v>
      </c>
      <c r="C33" s="169">
        <v>2748.3866400000002</v>
      </c>
      <c r="E33" s="169">
        <v>302</v>
      </c>
      <c r="F33" s="169">
        <v>2317.56817</v>
      </c>
      <c r="H33" s="169">
        <v>4600</v>
      </c>
      <c r="I33" s="169">
        <v>5065.9548100000002</v>
      </c>
    </row>
    <row r="34" spans="1:9" s="162" customFormat="1" ht="10" customHeight="1">
      <c r="A34" s="162" t="s">
        <v>241</v>
      </c>
      <c r="B34" s="174">
        <v>957</v>
      </c>
      <c r="C34" s="174">
        <v>805.56560000000002</v>
      </c>
      <c r="E34" s="169">
        <v>9</v>
      </c>
      <c r="F34" s="169">
        <v>19.805810000000001</v>
      </c>
      <c r="H34" s="169">
        <v>966</v>
      </c>
      <c r="I34" s="169">
        <v>825.37140999999997</v>
      </c>
    </row>
    <row r="35" spans="1:9" s="162" customFormat="1" ht="10" customHeight="1">
      <c r="A35" s="162" t="s">
        <v>242</v>
      </c>
      <c r="B35" s="169">
        <v>30711</v>
      </c>
      <c r="C35" s="169">
        <v>39728.949789999999</v>
      </c>
      <c r="E35" s="169">
        <v>129</v>
      </c>
      <c r="F35" s="169">
        <v>729.08378000000005</v>
      </c>
      <c r="H35" s="169">
        <v>30840</v>
      </c>
      <c r="I35" s="169">
        <v>40458.03357</v>
      </c>
    </row>
    <row r="36" spans="1:9" s="162" customFormat="1" ht="10" customHeight="1">
      <c r="A36" s="162" t="s">
        <v>243</v>
      </c>
      <c r="B36" s="169">
        <v>15835</v>
      </c>
      <c r="C36" s="169">
        <v>18769</v>
      </c>
      <c r="E36" s="169">
        <v>340</v>
      </c>
      <c r="F36" s="169">
        <v>2031.5130099999999</v>
      </c>
      <c r="H36" s="169">
        <v>16175</v>
      </c>
      <c r="I36" s="169">
        <v>20800.909670000001</v>
      </c>
    </row>
    <row r="37" spans="1:9" s="162" customFormat="1" ht="10" customHeight="1">
      <c r="A37" s="162" t="s">
        <v>244</v>
      </c>
      <c r="B37" s="169">
        <v>1478</v>
      </c>
      <c r="C37" s="169">
        <v>1807</v>
      </c>
      <c r="E37" s="169">
        <v>31</v>
      </c>
      <c r="F37" s="169">
        <v>91.007919999999999</v>
      </c>
      <c r="H37" s="169">
        <v>1509</v>
      </c>
      <c r="I37" s="169">
        <v>1897.9938500000001</v>
      </c>
    </row>
    <row r="38" spans="1:9" s="162" customFormat="1" ht="10" customHeight="1">
      <c r="A38" s="162" t="s">
        <v>245</v>
      </c>
      <c r="B38" s="169">
        <v>9680</v>
      </c>
      <c r="C38" s="169">
        <v>7417</v>
      </c>
      <c r="E38" s="169">
        <v>1</v>
      </c>
      <c r="F38" s="169">
        <v>2</v>
      </c>
      <c r="H38" s="169">
        <v>9681</v>
      </c>
      <c r="I38" s="169">
        <v>7418.7614899999999</v>
      </c>
    </row>
    <row r="39" spans="1:9" s="162" customFormat="1" ht="10" customHeight="1">
      <c r="A39" s="162" t="s">
        <v>246</v>
      </c>
      <c r="B39" s="169">
        <v>12478</v>
      </c>
      <c r="C39" s="169">
        <v>7272</v>
      </c>
      <c r="E39" s="169">
        <v>316</v>
      </c>
      <c r="F39" s="169">
        <v>2636.9601699999998</v>
      </c>
      <c r="H39" s="169">
        <v>12794</v>
      </c>
      <c r="I39" s="169">
        <v>9909.0695899999992</v>
      </c>
    </row>
    <row r="40" spans="1:9" s="162" customFormat="1" ht="10" customHeight="1">
      <c r="A40" s="162" t="s">
        <v>247</v>
      </c>
      <c r="B40" s="169">
        <v>4358</v>
      </c>
      <c r="C40" s="169">
        <v>2802</v>
      </c>
      <c r="E40" s="169">
        <v>23</v>
      </c>
      <c r="F40" s="169">
        <v>107.62818</v>
      </c>
      <c r="H40" s="169">
        <v>4381</v>
      </c>
      <c r="I40" s="169">
        <v>2909.86625</v>
      </c>
    </row>
    <row r="41" spans="1:9" s="176" customFormat="1" ht="10" customHeight="1">
      <c r="A41" s="176" t="s">
        <v>248</v>
      </c>
      <c r="B41" s="177">
        <f>B19+B20+B21+B22</f>
        <v>61200</v>
      </c>
      <c r="C41" s="177">
        <f>C19+C20+C21+C22</f>
        <v>48223.92942</v>
      </c>
      <c r="E41" s="177">
        <v>6192</v>
      </c>
      <c r="F41" s="177">
        <v>20551.90495</v>
      </c>
      <c r="H41" s="177">
        <v>67392</v>
      </c>
      <c r="I41" s="177">
        <v>68775.834369999997</v>
      </c>
    </row>
    <row r="42" spans="1:9" s="176" customFormat="1" ht="10" customHeight="1">
      <c r="A42" s="176" t="s">
        <v>249</v>
      </c>
      <c r="B42" s="177">
        <v>18474</v>
      </c>
      <c r="C42" s="177">
        <v>11849.43629</v>
      </c>
      <c r="E42" s="177">
        <v>150</v>
      </c>
      <c r="F42" s="177">
        <v>878.55880999999999</v>
      </c>
      <c r="H42" s="177">
        <v>18624</v>
      </c>
      <c r="I42" s="177">
        <v>12727.9951</v>
      </c>
    </row>
    <row r="43" spans="1:9" s="176" customFormat="1" ht="10" customHeight="1">
      <c r="A43" s="176" t="s">
        <v>250</v>
      </c>
      <c r="B43" s="177">
        <v>38244</v>
      </c>
      <c r="C43" s="177">
        <v>39795.701580000001</v>
      </c>
      <c r="E43" s="177">
        <v>17793</v>
      </c>
      <c r="F43" s="177">
        <v>53915.037129999997</v>
      </c>
      <c r="H43" s="177">
        <v>56037</v>
      </c>
      <c r="I43" s="177">
        <v>93710.738710000005</v>
      </c>
    </row>
    <row r="44" spans="1:9" s="176" customFormat="1" ht="10" customHeight="1">
      <c r="A44" s="176" t="s">
        <v>251</v>
      </c>
      <c r="B44" s="177">
        <v>62959</v>
      </c>
      <c r="C44" s="177">
        <v>71276.046109999996</v>
      </c>
      <c r="E44" s="177">
        <v>812</v>
      </c>
      <c r="F44" s="177">
        <v>5190.9786899999999</v>
      </c>
      <c r="H44" s="177">
        <v>63771</v>
      </c>
      <c r="I44" s="177">
        <v>76467.024799999999</v>
      </c>
    </row>
    <row r="45" spans="1:9" s="176" customFormat="1" ht="10" customHeight="1">
      <c r="A45" s="176" t="s">
        <v>252</v>
      </c>
      <c r="B45" s="177">
        <v>16836</v>
      </c>
      <c r="C45" s="177">
        <v>10074.34749</v>
      </c>
      <c r="E45" s="177">
        <v>339</v>
      </c>
      <c r="F45" s="177">
        <v>2744.58835</v>
      </c>
      <c r="H45" s="177">
        <v>17175</v>
      </c>
      <c r="I45" s="177">
        <v>12818.93584</v>
      </c>
    </row>
    <row r="46" spans="1:9" s="176" customFormat="1" ht="10" customHeight="1">
      <c r="A46" s="176" t="s">
        <v>253</v>
      </c>
      <c r="B46" s="177">
        <f>B41+B42+B43+B44+B45</f>
        <v>197713</v>
      </c>
      <c r="C46" s="177">
        <f>C41+C42+C43+C44+C45</f>
        <v>181219.46088999999</v>
      </c>
      <c r="E46" s="177">
        <v>25286</v>
      </c>
      <c r="F46" s="177">
        <v>83281.067930000005</v>
      </c>
      <c r="H46" s="177">
        <v>222999</v>
      </c>
      <c r="I46" s="177">
        <v>264500.52882000001</v>
      </c>
    </row>
    <row r="47" spans="1:9" s="176" customFormat="1" ht="3" customHeight="1">
      <c r="A47" s="163"/>
      <c r="B47" s="470">
        <v>197713</v>
      </c>
      <c r="C47" s="471">
        <v>181219.46088999999</v>
      </c>
      <c r="D47" s="163"/>
      <c r="E47" s="163"/>
      <c r="F47" s="163"/>
      <c r="G47" s="163"/>
      <c r="H47" s="178"/>
      <c r="I47" s="178"/>
    </row>
    <row r="48" spans="1:9" s="162" customFormat="1" ht="3" customHeight="1">
      <c r="H48" s="164"/>
      <c r="I48" s="164"/>
    </row>
    <row r="49" spans="1:9" s="162" customFormat="1" ht="12" customHeight="1">
      <c r="A49" s="642" t="s">
        <v>254</v>
      </c>
      <c r="B49" s="642"/>
      <c r="C49" s="642"/>
      <c r="D49" s="642"/>
      <c r="E49" s="642"/>
      <c r="F49" s="642"/>
      <c r="G49" s="642"/>
      <c r="H49" s="642"/>
      <c r="I49" s="642"/>
    </row>
    <row r="50" spans="1:9" s="162" customFormat="1" ht="48" customHeight="1">
      <c r="A50" s="643" t="s">
        <v>255</v>
      </c>
      <c r="B50" s="643"/>
      <c r="C50" s="643"/>
      <c r="D50" s="643"/>
      <c r="E50" s="643"/>
      <c r="F50" s="643"/>
      <c r="G50" s="643"/>
      <c r="H50" s="643"/>
      <c r="I50" s="643"/>
    </row>
    <row r="51" spans="1:9" s="162" customFormat="1" ht="20.149999999999999" customHeight="1">
      <c r="A51" s="641" t="s">
        <v>256</v>
      </c>
      <c r="B51" s="641"/>
      <c r="C51" s="641"/>
      <c r="D51" s="641"/>
      <c r="E51" s="641"/>
      <c r="F51" s="641"/>
      <c r="G51" s="641"/>
      <c r="H51" s="641"/>
      <c r="I51" s="641"/>
    </row>
    <row r="52" spans="1:9" s="162" customFormat="1" ht="10" customHeight="1">
      <c r="A52" s="642" t="s">
        <v>257</v>
      </c>
      <c r="B52" s="642"/>
      <c r="C52" s="642"/>
      <c r="D52" s="642"/>
      <c r="E52" s="642"/>
      <c r="F52" s="642"/>
      <c r="G52" s="642"/>
      <c r="H52" s="642"/>
      <c r="I52" s="642"/>
    </row>
    <row r="53" spans="1:9" s="162" customFormat="1" ht="21.75" customHeight="1">
      <c r="A53" s="644" t="s">
        <v>258</v>
      </c>
      <c r="B53" s="644"/>
      <c r="C53" s="644"/>
      <c r="D53" s="644"/>
      <c r="E53" s="644"/>
      <c r="F53" s="644"/>
      <c r="G53" s="644"/>
      <c r="H53" s="644"/>
      <c r="I53" s="644"/>
    </row>
    <row r="54" spans="1:9" ht="20.25" customHeight="1">
      <c r="A54" s="641" t="s">
        <v>259</v>
      </c>
      <c r="B54" s="641"/>
      <c r="C54" s="641"/>
      <c r="D54" s="641"/>
      <c r="E54" s="641"/>
      <c r="F54" s="641"/>
      <c r="G54" s="641"/>
      <c r="H54" s="641"/>
      <c r="I54" s="641"/>
    </row>
    <row r="55" spans="1:9" ht="10" customHeight="1">
      <c r="A55" s="641"/>
      <c r="B55" s="641"/>
      <c r="C55" s="641"/>
      <c r="D55" s="641"/>
      <c r="E55" s="641"/>
      <c r="F55" s="641"/>
      <c r="G55" s="641"/>
      <c r="H55" s="641"/>
      <c r="I55" s="641"/>
    </row>
    <row r="63" spans="1:9">
      <c r="A63" s="147"/>
      <c r="B63" s="147"/>
      <c r="C63" s="147"/>
      <c r="D63" s="147"/>
      <c r="E63" s="147"/>
      <c r="F63" s="147"/>
      <c r="G63" s="147"/>
      <c r="H63" s="147"/>
      <c r="I63" s="147"/>
    </row>
    <row r="64" spans="1:9">
      <c r="A64" s="147"/>
      <c r="B64" s="147"/>
      <c r="C64" s="147"/>
      <c r="D64" s="147"/>
      <c r="E64" s="147"/>
      <c r="F64" s="147"/>
      <c r="G64" s="147"/>
      <c r="H64" s="147"/>
      <c r="I64" s="147"/>
    </row>
    <row r="65" spans="1:9">
      <c r="A65" s="147"/>
      <c r="B65" s="147"/>
      <c r="C65" s="147"/>
      <c r="D65" s="147"/>
      <c r="E65" s="147"/>
      <c r="F65" s="147"/>
      <c r="G65" s="147"/>
      <c r="H65" s="147"/>
      <c r="I65" s="147"/>
    </row>
    <row r="66" spans="1:9">
      <c r="A66" s="147"/>
      <c r="B66" s="147"/>
      <c r="C66" s="147"/>
      <c r="D66" s="147"/>
      <c r="E66" s="147"/>
      <c r="F66" s="147"/>
      <c r="G66" s="147"/>
      <c r="H66" s="147"/>
      <c r="I66" s="147"/>
    </row>
    <row r="67" spans="1:9">
      <c r="A67" s="147"/>
      <c r="B67" s="147"/>
      <c r="C67" s="147"/>
      <c r="D67" s="147"/>
      <c r="E67" s="147"/>
      <c r="F67" s="147"/>
      <c r="G67" s="147"/>
      <c r="H67" s="147"/>
      <c r="I67" s="147"/>
    </row>
    <row r="68" spans="1:9">
      <c r="A68" s="147"/>
      <c r="B68" s="147"/>
      <c r="C68" s="147"/>
      <c r="D68" s="147"/>
      <c r="E68" s="147"/>
      <c r="F68" s="147"/>
      <c r="G68" s="147"/>
      <c r="H68" s="147"/>
      <c r="I68" s="147"/>
    </row>
    <row r="69" spans="1:9">
      <c r="A69" s="147"/>
      <c r="B69" s="147"/>
      <c r="C69" s="147"/>
      <c r="D69" s="147"/>
      <c r="E69" s="147"/>
      <c r="F69" s="147"/>
      <c r="G69" s="147"/>
      <c r="H69" s="147"/>
      <c r="I69" s="147"/>
    </row>
    <row r="70" spans="1:9">
      <c r="A70" s="147"/>
      <c r="B70" s="147"/>
      <c r="C70" s="147"/>
      <c r="D70" s="147"/>
      <c r="E70" s="147"/>
      <c r="F70" s="147"/>
      <c r="G70" s="147"/>
      <c r="H70" s="147"/>
      <c r="I70" s="147"/>
    </row>
    <row r="71" spans="1:9">
      <c r="A71" s="147"/>
      <c r="B71" s="147"/>
      <c r="C71" s="147"/>
      <c r="D71" s="147"/>
      <c r="E71" s="147"/>
      <c r="F71" s="147"/>
      <c r="G71" s="147"/>
      <c r="H71" s="147"/>
      <c r="I71" s="147"/>
    </row>
    <row r="72" spans="1:9">
      <c r="A72" s="147"/>
      <c r="B72" s="147"/>
      <c r="C72" s="147"/>
      <c r="D72" s="147"/>
      <c r="E72" s="147"/>
      <c r="F72" s="147"/>
      <c r="G72" s="147"/>
      <c r="H72" s="147"/>
      <c r="I72" s="147"/>
    </row>
    <row r="73" spans="1:9">
      <c r="A73" s="147"/>
      <c r="B73" s="147"/>
      <c r="C73" s="147"/>
      <c r="D73" s="147"/>
      <c r="E73" s="147"/>
      <c r="F73" s="147"/>
      <c r="G73" s="147"/>
      <c r="H73" s="147"/>
      <c r="I73" s="147"/>
    </row>
    <row r="74" spans="1:9">
      <c r="A74" s="147"/>
      <c r="B74" s="147"/>
      <c r="C74" s="147"/>
      <c r="D74" s="147"/>
      <c r="E74" s="147"/>
      <c r="F74" s="147"/>
      <c r="G74" s="147"/>
      <c r="H74" s="147"/>
      <c r="I74" s="147"/>
    </row>
    <row r="75" spans="1:9">
      <c r="A75" s="147"/>
      <c r="B75" s="147"/>
      <c r="C75" s="147"/>
      <c r="D75" s="147"/>
      <c r="E75" s="147"/>
      <c r="F75" s="147"/>
      <c r="G75" s="147"/>
      <c r="H75" s="147"/>
      <c r="I75" s="147"/>
    </row>
    <row r="76" spans="1:9">
      <c r="A76" s="147"/>
      <c r="B76" s="147"/>
      <c r="C76" s="147"/>
      <c r="D76" s="147"/>
      <c r="E76" s="147"/>
      <c r="F76" s="147"/>
      <c r="G76" s="147"/>
      <c r="H76" s="147"/>
      <c r="I76" s="147"/>
    </row>
    <row r="77" spans="1:9">
      <c r="A77" s="147"/>
      <c r="B77" s="147"/>
      <c r="C77" s="147"/>
      <c r="D77" s="147"/>
      <c r="E77" s="147"/>
      <c r="F77" s="147"/>
      <c r="G77" s="147"/>
      <c r="H77" s="147"/>
      <c r="I77" s="147"/>
    </row>
    <row r="78" spans="1:9">
      <c r="A78" s="147"/>
      <c r="B78" s="147"/>
      <c r="C78" s="147"/>
      <c r="D78" s="147"/>
      <c r="E78" s="147"/>
      <c r="F78" s="147"/>
      <c r="G78" s="147"/>
      <c r="H78" s="147"/>
      <c r="I78" s="147"/>
    </row>
    <row r="79" spans="1:9">
      <c r="A79" s="147"/>
      <c r="B79" s="147"/>
      <c r="C79" s="147"/>
      <c r="D79" s="147"/>
      <c r="E79" s="147"/>
      <c r="F79" s="147"/>
      <c r="G79" s="147"/>
      <c r="H79" s="147"/>
      <c r="I79" s="147"/>
    </row>
    <row r="80" spans="1:9">
      <c r="A80" s="147"/>
      <c r="B80" s="147"/>
      <c r="C80" s="147"/>
      <c r="D80" s="147"/>
      <c r="E80" s="147"/>
      <c r="F80" s="147"/>
      <c r="G80" s="147"/>
      <c r="H80" s="147"/>
      <c r="I80" s="147"/>
    </row>
    <row r="81" spans="1:9">
      <c r="A81" s="147"/>
      <c r="B81" s="147"/>
      <c r="C81" s="147"/>
      <c r="D81" s="147"/>
      <c r="E81" s="147"/>
      <c r="F81" s="147"/>
      <c r="G81" s="147"/>
      <c r="H81" s="147"/>
      <c r="I81" s="147"/>
    </row>
    <row r="82" spans="1:9">
      <c r="A82" s="147"/>
      <c r="B82" s="147"/>
      <c r="C82" s="147"/>
      <c r="D82" s="147"/>
      <c r="E82" s="147"/>
      <c r="F82" s="147"/>
      <c r="G82" s="147"/>
      <c r="H82" s="147"/>
      <c r="I82" s="147"/>
    </row>
    <row r="83" spans="1:9">
      <c r="A83" s="147"/>
      <c r="B83" s="147"/>
      <c r="C83" s="147"/>
      <c r="D83" s="147"/>
      <c r="E83" s="147"/>
      <c r="F83" s="147"/>
      <c r="G83" s="147"/>
      <c r="H83" s="147"/>
      <c r="I83" s="147"/>
    </row>
    <row r="84" spans="1:9">
      <c r="A84" s="147"/>
      <c r="B84" s="147"/>
      <c r="C84" s="147"/>
      <c r="D84" s="147"/>
      <c r="E84" s="147"/>
      <c r="F84" s="147"/>
      <c r="G84" s="147"/>
      <c r="H84" s="147"/>
      <c r="I84" s="147"/>
    </row>
    <row r="85" spans="1:9">
      <c r="A85" s="147"/>
      <c r="B85" s="147"/>
      <c r="C85" s="147"/>
      <c r="D85" s="147"/>
      <c r="E85" s="147"/>
      <c r="F85" s="147"/>
      <c r="G85" s="147"/>
      <c r="H85" s="147"/>
      <c r="I85" s="147"/>
    </row>
    <row r="86" spans="1:9">
      <c r="A86" s="147"/>
      <c r="B86" s="147"/>
      <c r="C86" s="147"/>
      <c r="D86" s="147"/>
      <c r="E86" s="147"/>
      <c r="F86" s="147"/>
      <c r="G86" s="147"/>
      <c r="H86" s="147"/>
      <c r="I86" s="147"/>
    </row>
    <row r="87" spans="1:9">
      <c r="A87" s="147"/>
      <c r="B87" s="147"/>
      <c r="C87" s="147"/>
      <c r="D87" s="147"/>
      <c r="E87" s="147"/>
      <c r="F87" s="147"/>
      <c r="G87" s="147"/>
      <c r="H87" s="147"/>
      <c r="I87" s="147"/>
    </row>
    <row r="88" spans="1:9">
      <c r="A88" s="147"/>
      <c r="B88" s="147"/>
      <c r="C88" s="147"/>
      <c r="D88" s="147"/>
      <c r="E88" s="147"/>
      <c r="F88" s="147"/>
      <c r="G88" s="147"/>
      <c r="H88" s="147"/>
      <c r="I88" s="147"/>
    </row>
    <row r="89" spans="1:9">
      <c r="A89" s="147"/>
      <c r="B89" s="147"/>
      <c r="C89" s="147"/>
      <c r="D89" s="147"/>
      <c r="E89" s="147"/>
      <c r="F89" s="147"/>
      <c r="G89" s="147"/>
      <c r="H89" s="147"/>
      <c r="I89" s="147"/>
    </row>
    <row r="90" spans="1:9">
      <c r="A90" s="147"/>
      <c r="B90" s="147"/>
      <c r="C90" s="147"/>
      <c r="D90" s="147"/>
      <c r="E90" s="147"/>
      <c r="F90" s="147"/>
      <c r="G90" s="147"/>
      <c r="H90" s="147"/>
      <c r="I90" s="147"/>
    </row>
    <row r="91" spans="1:9">
      <c r="A91" s="147"/>
      <c r="B91" s="147"/>
      <c r="C91" s="147"/>
      <c r="D91" s="147"/>
      <c r="E91" s="147"/>
      <c r="F91" s="147"/>
      <c r="G91" s="147"/>
      <c r="H91" s="147"/>
      <c r="I91" s="147"/>
    </row>
    <row r="92" spans="1:9">
      <c r="A92" s="147"/>
      <c r="B92" s="147"/>
      <c r="C92" s="147"/>
      <c r="D92" s="147"/>
      <c r="E92" s="147"/>
      <c r="F92" s="147"/>
      <c r="G92" s="147"/>
      <c r="H92" s="147"/>
      <c r="I92" s="147"/>
    </row>
    <row r="93" spans="1:9">
      <c r="A93" s="147"/>
      <c r="B93" s="147"/>
      <c r="C93" s="147"/>
      <c r="D93" s="147"/>
      <c r="E93" s="147"/>
      <c r="F93" s="147"/>
      <c r="G93" s="147"/>
      <c r="H93" s="147"/>
      <c r="I93" s="147"/>
    </row>
    <row r="94" spans="1:9">
      <c r="A94" s="147"/>
      <c r="B94" s="147"/>
      <c r="C94" s="147"/>
      <c r="D94" s="147"/>
      <c r="E94" s="147"/>
      <c r="F94" s="147"/>
      <c r="G94" s="147"/>
      <c r="H94" s="147"/>
      <c r="I94" s="147"/>
    </row>
    <row r="95" spans="1:9">
      <c r="A95" s="147"/>
      <c r="B95" s="147"/>
      <c r="C95" s="147"/>
      <c r="D95" s="147"/>
      <c r="E95" s="147"/>
      <c r="F95" s="147"/>
      <c r="G95" s="147"/>
      <c r="H95" s="147"/>
      <c r="I95" s="147"/>
    </row>
    <row r="96" spans="1:9">
      <c r="A96" s="147"/>
      <c r="B96" s="147"/>
      <c r="C96" s="147"/>
      <c r="D96" s="147"/>
      <c r="E96" s="147"/>
      <c r="F96" s="147"/>
      <c r="G96" s="147"/>
      <c r="H96" s="147"/>
      <c r="I96" s="147"/>
    </row>
    <row r="97" spans="1:9">
      <c r="A97" s="147"/>
      <c r="B97" s="147"/>
      <c r="C97" s="147"/>
      <c r="D97" s="147"/>
      <c r="E97" s="147"/>
      <c r="F97" s="147"/>
      <c r="G97" s="147"/>
      <c r="H97" s="147"/>
      <c r="I97" s="147"/>
    </row>
    <row r="98" spans="1:9">
      <c r="A98" s="147"/>
      <c r="B98" s="147"/>
      <c r="C98" s="147"/>
      <c r="D98" s="147"/>
      <c r="E98" s="147"/>
      <c r="F98" s="147"/>
      <c r="G98" s="147"/>
      <c r="H98" s="147"/>
      <c r="I98" s="147"/>
    </row>
    <row r="99" spans="1:9">
      <c r="A99" s="147"/>
      <c r="B99" s="147"/>
      <c r="C99" s="147"/>
      <c r="D99" s="147"/>
      <c r="E99" s="147"/>
      <c r="F99" s="147"/>
      <c r="G99" s="147"/>
      <c r="H99" s="147"/>
      <c r="I99" s="147"/>
    </row>
    <row r="100" spans="1:9">
      <c r="A100" s="147"/>
      <c r="B100" s="147"/>
      <c r="C100" s="147"/>
      <c r="D100" s="147"/>
      <c r="E100" s="147"/>
      <c r="F100" s="147"/>
      <c r="G100" s="147"/>
      <c r="H100" s="147"/>
      <c r="I100" s="147"/>
    </row>
    <row r="101" spans="1:9">
      <c r="A101" s="147"/>
      <c r="B101" s="147"/>
      <c r="C101" s="147"/>
      <c r="D101" s="147"/>
      <c r="E101" s="147"/>
      <c r="F101" s="147"/>
      <c r="G101" s="147"/>
      <c r="H101" s="147"/>
      <c r="I101" s="147"/>
    </row>
    <row r="102" spans="1:9">
      <c r="A102" s="147"/>
      <c r="B102" s="147"/>
      <c r="C102" s="147"/>
      <c r="D102" s="147"/>
      <c r="E102" s="147"/>
      <c r="F102" s="147"/>
      <c r="G102" s="147"/>
      <c r="H102" s="147"/>
      <c r="I102" s="147"/>
    </row>
    <row r="103" spans="1:9">
      <c r="A103" s="147"/>
      <c r="B103" s="147"/>
      <c r="C103" s="147"/>
      <c r="D103" s="147"/>
      <c r="E103" s="147"/>
      <c r="F103" s="147"/>
      <c r="G103" s="147"/>
      <c r="H103" s="147"/>
      <c r="I103" s="147"/>
    </row>
    <row r="104" spans="1:9">
      <c r="A104" s="147"/>
      <c r="B104" s="147"/>
      <c r="C104" s="147"/>
      <c r="D104" s="147"/>
      <c r="E104" s="147"/>
      <c r="F104" s="147"/>
      <c r="G104" s="147"/>
      <c r="H104" s="147"/>
      <c r="I104" s="147"/>
    </row>
    <row r="105" spans="1:9">
      <c r="A105" s="147"/>
      <c r="B105" s="147"/>
      <c r="C105" s="147"/>
      <c r="D105" s="147"/>
      <c r="E105" s="147"/>
      <c r="F105" s="147"/>
      <c r="G105" s="147"/>
      <c r="H105" s="147"/>
      <c r="I105" s="147"/>
    </row>
    <row r="106" spans="1:9">
      <c r="A106" s="147"/>
      <c r="B106" s="147"/>
      <c r="C106" s="147"/>
      <c r="D106" s="147"/>
      <c r="E106" s="147"/>
      <c r="F106" s="147"/>
      <c r="G106" s="147"/>
      <c r="H106" s="147"/>
      <c r="I106" s="147"/>
    </row>
    <row r="107" spans="1:9">
      <c r="A107" s="147"/>
      <c r="B107" s="147"/>
      <c r="C107" s="147"/>
      <c r="D107" s="147"/>
      <c r="E107" s="147"/>
      <c r="F107" s="147"/>
      <c r="G107" s="147"/>
      <c r="H107" s="147"/>
      <c r="I107" s="147"/>
    </row>
    <row r="108" spans="1:9">
      <c r="A108" s="147"/>
      <c r="B108" s="147"/>
      <c r="C108" s="147"/>
      <c r="D108" s="147"/>
      <c r="E108" s="147"/>
      <c r="F108" s="147"/>
      <c r="G108" s="147"/>
      <c r="H108" s="147"/>
      <c r="I108" s="147"/>
    </row>
    <row r="109" spans="1:9">
      <c r="A109" s="147"/>
      <c r="B109" s="147"/>
      <c r="C109" s="147"/>
      <c r="D109" s="147"/>
      <c r="E109" s="147"/>
      <c r="F109" s="147"/>
      <c r="G109" s="147"/>
      <c r="H109" s="147"/>
      <c r="I109" s="147"/>
    </row>
    <row r="110" spans="1:9">
      <c r="A110" s="147"/>
      <c r="B110" s="147"/>
      <c r="C110" s="147"/>
      <c r="D110" s="147"/>
      <c r="E110" s="147"/>
      <c r="F110" s="147"/>
      <c r="G110" s="147"/>
      <c r="H110" s="147"/>
      <c r="I110" s="147"/>
    </row>
    <row r="111" spans="1:9">
      <c r="A111" s="147"/>
      <c r="B111" s="147"/>
      <c r="C111" s="147"/>
      <c r="D111" s="147"/>
      <c r="E111" s="147"/>
      <c r="F111" s="147"/>
      <c r="G111" s="147"/>
      <c r="H111" s="147"/>
      <c r="I111" s="147"/>
    </row>
    <row r="112" spans="1:9">
      <c r="A112" s="147"/>
      <c r="B112" s="147"/>
      <c r="C112" s="147"/>
      <c r="D112" s="147"/>
      <c r="E112" s="147"/>
      <c r="F112" s="147"/>
      <c r="G112" s="147"/>
      <c r="H112" s="147"/>
      <c r="I112" s="147"/>
    </row>
    <row r="113" spans="1:9">
      <c r="A113" s="147"/>
      <c r="B113" s="147"/>
      <c r="C113" s="147"/>
      <c r="D113" s="147"/>
      <c r="E113" s="147"/>
      <c r="F113" s="147"/>
      <c r="G113" s="147"/>
      <c r="H113" s="147"/>
      <c r="I113" s="147"/>
    </row>
    <row r="114" spans="1:9">
      <c r="A114" s="147"/>
      <c r="B114" s="147"/>
      <c r="C114" s="147"/>
      <c r="D114" s="147"/>
      <c r="E114" s="147"/>
      <c r="F114" s="147"/>
      <c r="G114" s="147"/>
      <c r="H114" s="147"/>
      <c r="I114" s="147"/>
    </row>
    <row r="115" spans="1:9">
      <c r="A115" s="147"/>
      <c r="B115" s="147"/>
      <c r="C115" s="147"/>
      <c r="D115" s="147"/>
      <c r="E115" s="147"/>
      <c r="F115" s="147"/>
      <c r="G115" s="147"/>
      <c r="H115" s="147"/>
      <c r="I115" s="147"/>
    </row>
    <row r="116" spans="1:9">
      <c r="A116" s="147"/>
      <c r="B116" s="147"/>
      <c r="C116" s="147"/>
      <c r="D116" s="147"/>
      <c r="E116" s="147"/>
      <c r="F116" s="147"/>
      <c r="G116" s="147"/>
      <c r="H116" s="147"/>
      <c r="I116" s="147"/>
    </row>
    <row r="117" spans="1:9">
      <c r="A117" s="147"/>
      <c r="B117" s="147"/>
      <c r="C117" s="147"/>
      <c r="D117" s="147"/>
      <c r="E117" s="147"/>
      <c r="F117" s="147"/>
      <c r="G117" s="147"/>
      <c r="H117" s="147"/>
      <c r="I117" s="147"/>
    </row>
    <row r="118" spans="1:9">
      <c r="A118" s="147"/>
      <c r="B118" s="147"/>
      <c r="C118" s="147"/>
      <c r="D118" s="147"/>
      <c r="E118" s="147"/>
      <c r="F118" s="147"/>
      <c r="G118" s="147"/>
      <c r="H118" s="147"/>
      <c r="I118" s="147"/>
    </row>
    <row r="119" spans="1:9">
      <c r="A119" s="147"/>
      <c r="B119" s="147"/>
      <c r="C119" s="147"/>
      <c r="D119" s="147"/>
      <c r="E119" s="147"/>
      <c r="F119" s="147"/>
      <c r="G119" s="147"/>
      <c r="H119" s="147"/>
      <c r="I119" s="147"/>
    </row>
    <row r="120" spans="1:9">
      <c r="A120" s="147"/>
      <c r="B120" s="147"/>
      <c r="C120" s="147"/>
      <c r="D120" s="147"/>
      <c r="E120" s="147"/>
      <c r="F120" s="147"/>
      <c r="G120" s="147"/>
      <c r="H120" s="147"/>
      <c r="I120" s="147"/>
    </row>
    <row r="121" spans="1:9">
      <c r="A121" s="147"/>
      <c r="B121" s="147"/>
      <c r="C121" s="147"/>
      <c r="D121" s="147"/>
      <c r="E121" s="147"/>
      <c r="F121" s="147"/>
      <c r="G121" s="147"/>
      <c r="H121" s="147"/>
      <c r="I121" s="147"/>
    </row>
    <row r="122" spans="1:9">
      <c r="A122" s="147"/>
      <c r="B122" s="147"/>
      <c r="C122" s="147"/>
      <c r="D122" s="147"/>
      <c r="E122" s="147"/>
      <c r="F122" s="147"/>
      <c r="G122" s="147"/>
      <c r="H122" s="147"/>
      <c r="I122" s="147"/>
    </row>
    <row r="123" spans="1:9">
      <c r="A123" s="147"/>
      <c r="B123" s="147"/>
      <c r="C123" s="147"/>
      <c r="D123" s="147"/>
      <c r="E123" s="147"/>
      <c r="F123" s="147"/>
      <c r="G123" s="147"/>
      <c r="H123" s="147"/>
      <c r="I123" s="147"/>
    </row>
    <row r="124" spans="1:9">
      <c r="A124" s="147"/>
      <c r="B124" s="147"/>
      <c r="C124" s="147"/>
      <c r="D124" s="147"/>
      <c r="E124" s="147"/>
      <c r="F124" s="147"/>
      <c r="G124" s="147"/>
      <c r="H124" s="147"/>
      <c r="I124" s="147"/>
    </row>
    <row r="125" spans="1:9">
      <c r="A125" s="147"/>
      <c r="B125" s="147"/>
      <c r="C125" s="147"/>
      <c r="D125" s="147"/>
      <c r="E125" s="147"/>
      <c r="F125" s="147"/>
      <c r="G125" s="147"/>
      <c r="H125" s="147"/>
      <c r="I125" s="147"/>
    </row>
    <row r="126" spans="1:9">
      <c r="A126" s="147"/>
      <c r="B126" s="147"/>
      <c r="C126" s="147"/>
      <c r="D126" s="147"/>
      <c r="E126" s="147"/>
      <c r="F126" s="147"/>
      <c r="G126" s="147"/>
      <c r="H126" s="147"/>
      <c r="I126" s="147"/>
    </row>
    <row r="127" spans="1:9">
      <c r="A127" s="147"/>
      <c r="B127" s="147"/>
      <c r="C127" s="147"/>
      <c r="D127" s="147"/>
      <c r="E127" s="147"/>
      <c r="F127" s="147"/>
      <c r="G127" s="147"/>
      <c r="H127" s="147"/>
      <c r="I127" s="147"/>
    </row>
    <row r="128" spans="1:9">
      <c r="A128" s="147"/>
      <c r="B128" s="147"/>
      <c r="C128" s="147"/>
      <c r="D128" s="147"/>
      <c r="E128" s="147"/>
      <c r="F128" s="147"/>
      <c r="G128" s="147"/>
      <c r="H128" s="147"/>
      <c r="I128" s="147"/>
    </row>
    <row r="129" spans="1:9">
      <c r="A129" s="147"/>
      <c r="B129" s="147"/>
      <c r="C129" s="147"/>
      <c r="D129" s="147"/>
      <c r="E129" s="147"/>
      <c r="F129" s="147"/>
      <c r="G129" s="147"/>
      <c r="H129" s="147"/>
      <c r="I129" s="147"/>
    </row>
    <row r="130" spans="1:9">
      <c r="A130" s="147"/>
      <c r="B130" s="147"/>
      <c r="C130" s="147"/>
      <c r="D130" s="147"/>
      <c r="E130" s="147"/>
      <c r="F130" s="147"/>
      <c r="G130" s="147"/>
      <c r="H130" s="147"/>
      <c r="I130" s="147"/>
    </row>
    <row r="131" spans="1:9">
      <c r="A131" s="147"/>
      <c r="B131" s="147"/>
      <c r="C131" s="147"/>
      <c r="D131" s="147"/>
      <c r="E131" s="147"/>
      <c r="F131" s="147"/>
      <c r="G131" s="147"/>
      <c r="H131" s="147"/>
      <c r="I131" s="147"/>
    </row>
    <row r="132" spans="1:9">
      <c r="A132" s="147"/>
      <c r="B132" s="147"/>
      <c r="C132" s="147"/>
      <c r="D132" s="147"/>
      <c r="E132" s="147"/>
      <c r="F132" s="147"/>
      <c r="G132" s="147"/>
      <c r="H132" s="147"/>
      <c r="I132" s="147"/>
    </row>
    <row r="133" spans="1:9">
      <c r="A133" s="147"/>
      <c r="B133" s="147"/>
      <c r="C133" s="147"/>
      <c r="D133" s="147"/>
      <c r="E133" s="147"/>
      <c r="F133" s="147"/>
      <c r="G133" s="147"/>
      <c r="H133" s="147"/>
      <c r="I133" s="147"/>
    </row>
    <row r="134" spans="1:9">
      <c r="A134" s="147"/>
      <c r="B134" s="147"/>
      <c r="C134" s="147"/>
      <c r="D134" s="147"/>
      <c r="E134" s="147"/>
      <c r="F134" s="147"/>
      <c r="G134" s="147"/>
      <c r="H134" s="147"/>
      <c r="I134" s="147"/>
    </row>
    <row r="135" spans="1:9">
      <c r="A135" s="147"/>
      <c r="B135" s="147"/>
      <c r="C135" s="147"/>
      <c r="D135" s="147"/>
      <c r="E135" s="147"/>
      <c r="F135" s="147"/>
      <c r="G135" s="147"/>
      <c r="H135" s="147"/>
      <c r="I135" s="147"/>
    </row>
    <row r="136" spans="1:9">
      <c r="A136" s="147"/>
      <c r="B136" s="147"/>
      <c r="C136" s="147"/>
      <c r="D136" s="147"/>
      <c r="E136" s="147"/>
      <c r="F136" s="147"/>
      <c r="G136" s="147"/>
      <c r="H136" s="147"/>
      <c r="I136" s="147"/>
    </row>
    <row r="137" spans="1:9">
      <c r="A137" s="147"/>
      <c r="B137" s="147"/>
      <c r="C137" s="147"/>
      <c r="D137" s="147"/>
      <c r="E137" s="147"/>
      <c r="F137" s="147"/>
      <c r="G137" s="147"/>
      <c r="H137" s="147"/>
      <c r="I137" s="147"/>
    </row>
    <row r="138" spans="1:9">
      <c r="A138" s="147"/>
      <c r="B138" s="147"/>
      <c r="C138" s="147"/>
      <c r="D138" s="147"/>
      <c r="E138" s="147"/>
      <c r="F138" s="147"/>
      <c r="G138" s="147"/>
      <c r="H138" s="147"/>
      <c r="I138" s="147"/>
    </row>
    <row r="139" spans="1:9">
      <c r="A139" s="147"/>
      <c r="B139" s="147"/>
      <c r="C139" s="147"/>
      <c r="D139" s="147"/>
      <c r="E139" s="147"/>
      <c r="F139" s="147"/>
      <c r="G139" s="147"/>
      <c r="H139" s="147"/>
      <c r="I139" s="147"/>
    </row>
    <row r="140" spans="1:9">
      <c r="A140" s="147"/>
      <c r="B140" s="147"/>
      <c r="C140" s="147"/>
      <c r="D140" s="147"/>
      <c r="E140" s="147"/>
      <c r="F140" s="147"/>
      <c r="G140" s="147"/>
      <c r="H140" s="147"/>
      <c r="I140" s="147"/>
    </row>
    <row r="141" spans="1:9">
      <c r="A141" s="147"/>
      <c r="B141" s="147"/>
      <c r="C141" s="147"/>
      <c r="D141" s="147"/>
      <c r="E141" s="147"/>
      <c r="F141" s="147"/>
      <c r="G141" s="147"/>
      <c r="H141" s="147"/>
      <c r="I141" s="147"/>
    </row>
    <row r="142" spans="1:9">
      <c r="A142" s="147"/>
      <c r="B142" s="147"/>
      <c r="C142" s="147"/>
      <c r="D142" s="147"/>
      <c r="E142" s="147"/>
      <c r="F142" s="147"/>
      <c r="G142" s="147"/>
      <c r="H142" s="147"/>
      <c r="I142" s="147"/>
    </row>
    <row r="143" spans="1:9">
      <c r="A143" s="147"/>
      <c r="B143" s="147"/>
      <c r="C143" s="147"/>
      <c r="D143" s="147"/>
      <c r="E143" s="147"/>
      <c r="F143" s="147"/>
      <c r="G143" s="147"/>
      <c r="H143" s="147"/>
      <c r="I143" s="147"/>
    </row>
    <row r="144" spans="1:9">
      <c r="A144" s="147"/>
      <c r="B144" s="147"/>
      <c r="C144" s="147"/>
      <c r="D144" s="147"/>
      <c r="E144" s="147"/>
      <c r="F144" s="147"/>
      <c r="G144" s="147"/>
      <c r="H144" s="147"/>
      <c r="I144" s="147"/>
    </row>
    <row r="145" spans="1:9">
      <c r="A145" s="147"/>
      <c r="B145" s="147"/>
      <c r="C145" s="147"/>
      <c r="D145" s="147"/>
      <c r="E145" s="147"/>
      <c r="F145" s="147"/>
      <c r="G145" s="147"/>
      <c r="H145" s="147"/>
      <c r="I145" s="147"/>
    </row>
    <row r="146" spans="1:9">
      <c r="A146" s="147"/>
      <c r="B146" s="147"/>
      <c r="C146" s="147"/>
      <c r="D146" s="147"/>
      <c r="E146" s="147"/>
      <c r="F146" s="147"/>
      <c r="G146" s="147"/>
      <c r="H146" s="147"/>
      <c r="I146" s="147"/>
    </row>
    <row r="147" spans="1:9">
      <c r="A147" s="147"/>
      <c r="B147" s="147"/>
      <c r="C147" s="147"/>
      <c r="D147" s="147"/>
      <c r="E147" s="147"/>
      <c r="F147" s="147"/>
      <c r="G147" s="147"/>
      <c r="H147" s="147"/>
      <c r="I147" s="147"/>
    </row>
    <row r="148" spans="1:9">
      <c r="A148" s="147"/>
      <c r="B148" s="147"/>
      <c r="C148" s="147"/>
      <c r="D148" s="147"/>
      <c r="E148" s="147"/>
      <c r="F148" s="147"/>
      <c r="G148" s="147"/>
      <c r="H148" s="147"/>
      <c r="I148" s="147"/>
    </row>
    <row r="149" spans="1:9">
      <c r="A149" s="147"/>
      <c r="B149" s="147"/>
      <c r="C149" s="147"/>
      <c r="D149" s="147"/>
      <c r="E149" s="147"/>
      <c r="F149" s="147"/>
      <c r="G149" s="147"/>
      <c r="H149" s="147"/>
      <c r="I149" s="147"/>
    </row>
    <row r="150" spans="1:9">
      <c r="A150" s="147"/>
      <c r="B150" s="147"/>
      <c r="C150" s="147"/>
      <c r="D150" s="147"/>
      <c r="E150" s="147"/>
      <c r="F150" s="147"/>
      <c r="G150" s="147"/>
      <c r="H150" s="147"/>
      <c r="I150" s="147"/>
    </row>
    <row r="151" spans="1:9">
      <c r="A151" s="147"/>
      <c r="B151" s="147"/>
      <c r="C151" s="147"/>
      <c r="D151" s="147"/>
      <c r="E151" s="147"/>
      <c r="F151" s="147"/>
      <c r="G151" s="147"/>
      <c r="H151" s="147"/>
      <c r="I151" s="147"/>
    </row>
    <row r="152" spans="1:9">
      <c r="A152" s="147"/>
      <c r="B152" s="147"/>
      <c r="C152" s="147"/>
      <c r="D152" s="147"/>
      <c r="E152" s="147"/>
      <c r="F152" s="147"/>
      <c r="G152" s="147"/>
      <c r="H152" s="147"/>
      <c r="I152" s="147"/>
    </row>
    <row r="153" spans="1:9">
      <c r="A153" s="147"/>
      <c r="B153" s="147"/>
      <c r="C153" s="147"/>
      <c r="D153" s="147"/>
      <c r="E153" s="147"/>
      <c r="F153" s="147"/>
      <c r="G153" s="147"/>
      <c r="H153" s="147"/>
      <c r="I153" s="147"/>
    </row>
    <row r="154" spans="1:9">
      <c r="A154" s="147"/>
      <c r="B154" s="147"/>
      <c r="C154" s="147"/>
      <c r="D154" s="147"/>
      <c r="E154" s="147"/>
      <c r="F154" s="147"/>
      <c r="G154" s="147"/>
      <c r="H154" s="147"/>
      <c r="I154" s="147"/>
    </row>
    <row r="155" spans="1:9">
      <c r="A155" s="147"/>
      <c r="B155" s="147"/>
      <c r="C155" s="147"/>
      <c r="D155" s="147"/>
      <c r="E155" s="147"/>
      <c r="F155" s="147"/>
      <c r="G155" s="147"/>
      <c r="H155" s="147"/>
      <c r="I155" s="147"/>
    </row>
    <row r="156" spans="1:9">
      <c r="A156" s="147"/>
      <c r="B156" s="147"/>
      <c r="C156" s="147"/>
      <c r="D156" s="147"/>
      <c r="E156" s="147"/>
      <c r="F156" s="147"/>
      <c r="G156" s="147"/>
      <c r="H156" s="147"/>
      <c r="I156" s="147"/>
    </row>
    <row r="157" spans="1:9">
      <c r="A157" s="147"/>
      <c r="B157" s="147"/>
      <c r="C157" s="147"/>
      <c r="D157" s="147"/>
      <c r="E157" s="147"/>
      <c r="F157" s="147"/>
      <c r="G157" s="147"/>
      <c r="H157" s="147"/>
      <c r="I157" s="147"/>
    </row>
    <row r="158" spans="1:9">
      <c r="A158" s="147"/>
      <c r="B158" s="147"/>
      <c r="C158" s="147"/>
      <c r="D158" s="147"/>
      <c r="E158" s="147"/>
      <c r="F158" s="147"/>
      <c r="G158" s="147"/>
      <c r="H158" s="147"/>
      <c r="I158" s="147"/>
    </row>
    <row r="159" spans="1:9">
      <c r="A159" s="147"/>
      <c r="B159" s="147"/>
      <c r="C159" s="147"/>
      <c r="D159" s="147"/>
      <c r="E159" s="147"/>
      <c r="F159" s="147"/>
      <c r="G159" s="147"/>
      <c r="H159" s="147"/>
      <c r="I159" s="147"/>
    </row>
    <row r="160" spans="1:9">
      <c r="A160" s="147"/>
      <c r="B160" s="147"/>
      <c r="C160" s="147"/>
      <c r="D160" s="147"/>
      <c r="E160" s="147"/>
      <c r="F160" s="147"/>
      <c r="G160" s="147"/>
      <c r="H160" s="147"/>
      <c r="I160" s="147"/>
    </row>
    <row r="161" spans="1:9">
      <c r="A161" s="147"/>
      <c r="B161" s="147"/>
      <c r="C161" s="147"/>
      <c r="D161" s="147"/>
      <c r="E161" s="147"/>
      <c r="F161" s="147"/>
      <c r="G161" s="147"/>
      <c r="H161" s="147"/>
      <c r="I161" s="147"/>
    </row>
    <row r="162" spans="1:9">
      <c r="A162" s="147"/>
      <c r="B162" s="147"/>
      <c r="C162" s="147"/>
      <c r="D162" s="147"/>
      <c r="E162" s="147"/>
      <c r="F162" s="147"/>
      <c r="G162" s="147"/>
      <c r="H162" s="147"/>
      <c r="I162" s="147"/>
    </row>
    <row r="163" spans="1:9">
      <c r="A163" s="147"/>
      <c r="B163" s="147"/>
      <c r="C163" s="147"/>
      <c r="D163" s="147"/>
      <c r="E163" s="147"/>
      <c r="F163" s="147"/>
      <c r="G163" s="147"/>
      <c r="H163" s="147"/>
      <c r="I163" s="147"/>
    </row>
    <row r="164" spans="1:9">
      <c r="A164" s="147"/>
      <c r="B164" s="147"/>
      <c r="C164" s="147"/>
      <c r="D164" s="147"/>
      <c r="E164" s="147"/>
      <c r="F164" s="147"/>
      <c r="G164" s="147"/>
      <c r="H164" s="147"/>
      <c r="I164" s="147"/>
    </row>
    <row r="165" spans="1:9">
      <c r="A165" s="147"/>
      <c r="B165" s="147"/>
      <c r="C165" s="147"/>
      <c r="D165" s="147"/>
      <c r="E165" s="147"/>
      <c r="F165" s="147"/>
      <c r="G165" s="147"/>
      <c r="H165" s="147"/>
      <c r="I165" s="147"/>
    </row>
    <row r="166" spans="1:9">
      <c r="A166" s="147"/>
      <c r="B166" s="147"/>
      <c r="C166" s="147"/>
      <c r="D166" s="147"/>
      <c r="E166" s="147"/>
      <c r="F166" s="147"/>
      <c r="G166" s="147"/>
      <c r="H166" s="147"/>
      <c r="I166" s="147"/>
    </row>
    <row r="167" spans="1:9">
      <c r="A167" s="147"/>
      <c r="B167" s="147"/>
      <c r="C167" s="147"/>
      <c r="D167" s="147"/>
      <c r="E167" s="147"/>
      <c r="F167" s="147"/>
      <c r="G167" s="147"/>
      <c r="H167" s="147"/>
      <c r="I167" s="147"/>
    </row>
    <row r="168" spans="1:9">
      <c r="A168" s="147"/>
      <c r="B168" s="147"/>
      <c r="C168" s="147"/>
      <c r="D168" s="147"/>
      <c r="E168" s="147"/>
      <c r="F168" s="147"/>
      <c r="G168" s="147"/>
      <c r="H168" s="147"/>
      <c r="I168" s="147"/>
    </row>
    <row r="169" spans="1:9">
      <c r="A169" s="147"/>
      <c r="B169" s="147"/>
      <c r="C169" s="147"/>
      <c r="D169" s="147"/>
      <c r="E169" s="147"/>
      <c r="F169" s="147"/>
      <c r="G169" s="147"/>
      <c r="H169" s="147"/>
      <c r="I169" s="147"/>
    </row>
    <row r="170" spans="1:9">
      <c r="A170" s="147"/>
      <c r="B170" s="147"/>
      <c r="C170" s="147"/>
      <c r="D170" s="147"/>
      <c r="E170" s="147"/>
      <c r="F170" s="147"/>
      <c r="G170" s="147"/>
      <c r="H170" s="147"/>
      <c r="I170" s="147"/>
    </row>
    <row r="171" spans="1:9">
      <c r="A171" s="147"/>
      <c r="B171" s="147"/>
      <c r="C171" s="147"/>
      <c r="D171" s="147"/>
      <c r="E171" s="147"/>
      <c r="F171" s="147"/>
      <c r="G171" s="147"/>
      <c r="H171" s="147"/>
      <c r="I171" s="147"/>
    </row>
    <row r="172" spans="1:9">
      <c r="A172" s="147"/>
      <c r="B172" s="147"/>
      <c r="C172" s="147"/>
      <c r="D172" s="147"/>
      <c r="E172" s="147"/>
      <c r="F172" s="147"/>
      <c r="G172" s="147"/>
      <c r="H172" s="147"/>
      <c r="I172" s="147"/>
    </row>
    <row r="173" spans="1:9">
      <c r="A173" s="147"/>
      <c r="B173" s="147"/>
      <c r="C173" s="147"/>
      <c r="D173" s="147"/>
      <c r="E173" s="147"/>
      <c r="F173" s="147"/>
      <c r="G173" s="147"/>
      <c r="H173" s="147"/>
      <c r="I173" s="147"/>
    </row>
    <row r="174" spans="1:9">
      <c r="A174" s="147"/>
      <c r="B174" s="147"/>
      <c r="C174" s="147"/>
      <c r="D174" s="147"/>
      <c r="E174" s="147"/>
      <c r="F174" s="147"/>
      <c r="G174" s="147"/>
      <c r="H174" s="147"/>
      <c r="I174" s="147"/>
    </row>
    <row r="175" spans="1:9">
      <c r="A175" s="147"/>
      <c r="B175" s="147"/>
      <c r="C175" s="147"/>
      <c r="D175" s="147"/>
      <c r="E175" s="147"/>
      <c r="F175" s="147"/>
      <c r="G175" s="147"/>
      <c r="H175" s="147"/>
      <c r="I175" s="147"/>
    </row>
    <row r="176" spans="1:9">
      <c r="A176" s="147"/>
      <c r="B176" s="147"/>
      <c r="C176" s="147"/>
      <c r="D176" s="147"/>
      <c r="E176" s="147"/>
      <c r="F176" s="147"/>
      <c r="G176" s="147"/>
      <c r="H176" s="147"/>
      <c r="I176" s="147"/>
    </row>
    <row r="177" spans="1:9">
      <c r="A177" s="147"/>
      <c r="B177" s="147"/>
      <c r="C177" s="147"/>
      <c r="D177" s="147"/>
      <c r="E177" s="147"/>
      <c r="F177" s="147"/>
      <c r="G177" s="147"/>
      <c r="H177" s="147"/>
      <c r="I177" s="147"/>
    </row>
    <row r="178" spans="1:9">
      <c r="A178" s="147"/>
      <c r="B178" s="147"/>
      <c r="C178" s="147"/>
      <c r="D178" s="147"/>
      <c r="E178" s="147"/>
      <c r="F178" s="147"/>
      <c r="G178" s="147"/>
      <c r="H178" s="147"/>
      <c r="I178" s="147"/>
    </row>
    <row r="179" spans="1:9">
      <c r="A179" s="147"/>
      <c r="B179" s="147"/>
      <c r="C179" s="147"/>
      <c r="D179" s="147"/>
      <c r="E179" s="147"/>
      <c r="F179" s="147"/>
      <c r="G179" s="147"/>
      <c r="H179" s="147"/>
      <c r="I179" s="147"/>
    </row>
    <row r="180" spans="1:9">
      <c r="A180" s="147"/>
      <c r="B180" s="147"/>
      <c r="C180" s="147"/>
      <c r="D180" s="147"/>
      <c r="E180" s="147"/>
      <c r="F180" s="147"/>
      <c r="G180" s="147"/>
      <c r="H180" s="147"/>
      <c r="I180" s="147"/>
    </row>
    <row r="181" spans="1:9">
      <c r="A181" s="147"/>
      <c r="B181" s="147"/>
      <c r="C181" s="147"/>
      <c r="D181" s="147"/>
      <c r="E181" s="147"/>
      <c r="F181" s="147"/>
      <c r="G181" s="147"/>
      <c r="H181" s="147"/>
      <c r="I181" s="147"/>
    </row>
    <row r="182" spans="1:9">
      <c r="A182" s="147"/>
      <c r="B182" s="147"/>
      <c r="C182" s="147"/>
      <c r="D182" s="147"/>
      <c r="E182" s="147"/>
      <c r="F182" s="147"/>
      <c r="G182" s="147"/>
      <c r="H182" s="147"/>
      <c r="I182" s="147"/>
    </row>
    <row r="183" spans="1:9">
      <c r="A183" s="147"/>
      <c r="B183" s="147"/>
      <c r="C183" s="147"/>
      <c r="D183" s="147"/>
      <c r="E183" s="147"/>
      <c r="F183" s="147"/>
      <c r="G183" s="147"/>
      <c r="H183" s="147"/>
      <c r="I183" s="147"/>
    </row>
    <row r="184" spans="1:9">
      <c r="A184" s="147"/>
      <c r="B184" s="147"/>
      <c r="C184" s="147"/>
      <c r="D184" s="147"/>
      <c r="E184" s="147"/>
      <c r="F184" s="147"/>
      <c r="G184" s="147"/>
      <c r="H184" s="147"/>
      <c r="I184" s="147"/>
    </row>
    <row r="185" spans="1:9">
      <c r="A185" s="147"/>
      <c r="B185" s="147"/>
      <c r="C185" s="147"/>
      <c r="D185" s="147"/>
      <c r="E185" s="147"/>
      <c r="F185" s="147"/>
      <c r="G185" s="147"/>
      <c r="H185" s="147"/>
      <c r="I185" s="147"/>
    </row>
    <row r="186" spans="1:9">
      <c r="A186" s="147"/>
      <c r="B186" s="147"/>
      <c r="C186" s="147"/>
      <c r="D186" s="147"/>
      <c r="E186" s="147"/>
      <c r="F186" s="147"/>
      <c r="G186" s="147"/>
      <c r="H186" s="147"/>
      <c r="I186" s="147"/>
    </row>
    <row r="187" spans="1:9">
      <c r="A187" s="147"/>
      <c r="B187" s="147"/>
      <c r="C187" s="147"/>
      <c r="D187" s="147"/>
      <c r="E187" s="147"/>
      <c r="F187" s="147"/>
      <c r="G187" s="147"/>
      <c r="H187" s="147"/>
      <c r="I187" s="147"/>
    </row>
    <row r="188" spans="1:9">
      <c r="A188" s="147"/>
      <c r="B188" s="147"/>
      <c r="C188" s="147"/>
      <c r="D188" s="147"/>
      <c r="E188" s="147"/>
      <c r="F188" s="147"/>
      <c r="G188" s="147"/>
      <c r="H188" s="147"/>
      <c r="I188" s="147"/>
    </row>
    <row r="189" spans="1:9">
      <c r="A189" s="147"/>
      <c r="B189" s="147"/>
      <c r="C189" s="147"/>
      <c r="D189" s="147"/>
      <c r="E189" s="147"/>
      <c r="F189" s="147"/>
      <c r="G189" s="147"/>
      <c r="H189" s="147"/>
      <c r="I189" s="147"/>
    </row>
    <row r="190" spans="1:9">
      <c r="A190" s="147"/>
      <c r="B190" s="147"/>
      <c r="C190" s="147"/>
      <c r="D190" s="147"/>
      <c r="E190" s="147"/>
      <c r="F190" s="147"/>
      <c r="G190" s="147"/>
      <c r="H190" s="147"/>
      <c r="I190" s="147"/>
    </row>
    <row r="191" spans="1:9">
      <c r="A191" s="147"/>
      <c r="B191" s="147"/>
      <c r="C191" s="147"/>
      <c r="D191" s="147"/>
      <c r="E191" s="147"/>
      <c r="F191" s="147"/>
      <c r="G191" s="147"/>
      <c r="H191" s="147"/>
      <c r="I191" s="147"/>
    </row>
    <row r="192" spans="1:9">
      <c r="A192" s="147"/>
      <c r="B192" s="147"/>
      <c r="C192" s="147"/>
      <c r="D192" s="147"/>
      <c r="E192" s="147"/>
      <c r="F192" s="147"/>
      <c r="G192" s="147"/>
      <c r="H192" s="147"/>
      <c r="I192" s="147"/>
    </row>
    <row r="193" spans="1:9">
      <c r="A193" s="147"/>
      <c r="B193" s="147"/>
      <c r="C193" s="147"/>
      <c r="D193" s="147"/>
      <c r="E193" s="147"/>
      <c r="F193" s="147"/>
      <c r="G193" s="147"/>
      <c r="H193" s="147"/>
      <c r="I193" s="147"/>
    </row>
    <row r="194" spans="1:9">
      <c r="A194" s="147"/>
      <c r="B194" s="147"/>
      <c r="C194" s="147"/>
      <c r="D194" s="147"/>
      <c r="E194" s="147"/>
      <c r="F194" s="147"/>
      <c r="G194" s="147"/>
      <c r="H194" s="147"/>
      <c r="I194" s="147"/>
    </row>
    <row r="195" spans="1:9">
      <c r="A195" s="147"/>
      <c r="B195" s="147"/>
      <c r="C195" s="147"/>
      <c r="D195" s="147"/>
      <c r="E195" s="147"/>
      <c r="F195" s="147"/>
      <c r="G195" s="147"/>
      <c r="H195" s="147"/>
      <c r="I195" s="147"/>
    </row>
    <row r="196" spans="1:9">
      <c r="A196" s="147"/>
      <c r="B196" s="147"/>
      <c r="C196" s="147"/>
      <c r="D196" s="147"/>
      <c r="E196" s="147"/>
      <c r="F196" s="147"/>
      <c r="G196" s="147"/>
      <c r="H196" s="147"/>
      <c r="I196" s="147"/>
    </row>
    <row r="197" spans="1:9">
      <c r="A197" s="147"/>
      <c r="B197" s="147"/>
      <c r="C197" s="147"/>
      <c r="D197" s="147"/>
      <c r="E197" s="147"/>
      <c r="F197" s="147"/>
      <c r="G197" s="147"/>
      <c r="H197" s="147"/>
      <c r="I197" s="147"/>
    </row>
    <row r="198" spans="1:9">
      <c r="A198" s="147"/>
      <c r="B198" s="147"/>
      <c r="C198" s="147"/>
      <c r="D198" s="147"/>
      <c r="E198" s="147"/>
      <c r="F198" s="147"/>
      <c r="G198" s="147"/>
      <c r="H198" s="147"/>
      <c r="I198" s="147"/>
    </row>
    <row r="199" spans="1:9">
      <c r="A199" s="147"/>
      <c r="B199" s="147"/>
      <c r="C199" s="147"/>
      <c r="D199" s="147"/>
      <c r="E199" s="147"/>
      <c r="F199" s="147"/>
      <c r="G199" s="147"/>
      <c r="H199" s="147"/>
      <c r="I199" s="147"/>
    </row>
    <row r="200" spans="1:9">
      <c r="A200" s="147"/>
      <c r="B200" s="147"/>
      <c r="C200" s="147"/>
      <c r="D200" s="147"/>
      <c r="E200" s="147"/>
      <c r="F200" s="147"/>
      <c r="G200" s="147"/>
      <c r="H200" s="147"/>
      <c r="I200" s="147"/>
    </row>
    <row r="201" spans="1:9">
      <c r="A201" s="147"/>
      <c r="B201" s="147"/>
      <c r="C201" s="147"/>
      <c r="D201" s="147"/>
      <c r="E201" s="147"/>
      <c r="F201" s="147"/>
      <c r="G201" s="147"/>
      <c r="H201" s="147"/>
      <c r="I201" s="147"/>
    </row>
    <row r="202" spans="1:9">
      <c r="A202" s="147"/>
      <c r="B202" s="147"/>
      <c r="C202" s="147"/>
      <c r="D202" s="147"/>
      <c r="E202" s="147"/>
      <c r="F202" s="147"/>
      <c r="G202" s="147"/>
      <c r="H202" s="147"/>
      <c r="I202" s="147"/>
    </row>
    <row r="203" spans="1:9">
      <c r="A203" s="147"/>
      <c r="B203" s="147"/>
      <c r="C203" s="147"/>
      <c r="D203" s="147"/>
      <c r="E203" s="147"/>
      <c r="F203" s="147"/>
      <c r="G203" s="147"/>
      <c r="H203" s="147"/>
      <c r="I203" s="147"/>
    </row>
    <row r="204" spans="1:9">
      <c r="A204" s="147"/>
      <c r="B204" s="147"/>
      <c r="C204" s="147"/>
      <c r="D204" s="147"/>
      <c r="E204" s="147"/>
      <c r="F204" s="147"/>
      <c r="G204" s="147"/>
      <c r="H204" s="147"/>
      <c r="I204" s="147"/>
    </row>
    <row r="205" spans="1:9">
      <c r="A205" s="147"/>
      <c r="B205" s="147"/>
      <c r="C205" s="147"/>
      <c r="D205" s="147"/>
      <c r="E205" s="147"/>
      <c r="F205" s="147"/>
      <c r="G205" s="147"/>
      <c r="H205" s="147"/>
      <c r="I205" s="147"/>
    </row>
    <row r="206" spans="1:9">
      <c r="A206" s="147"/>
      <c r="B206" s="147"/>
      <c r="C206" s="147"/>
      <c r="D206" s="147"/>
      <c r="E206" s="147"/>
      <c r="F206" s="147"/>
      <c r="G206" s="147"/>
      <c r="H206" s="147"/>
      <c r="I206" s="147"/>
    </row>
    <row r="207" spans="1:9">
      <c r="A207" s="147"/>
      <c r="B207" s="147"/>
      <c r="C207" s="147"/>
      <c r="D207" s="147"/>
      <c r="E207" s="147"/>
      <c r="F207" s="147"/>
      <c r="G207" s="147"/>
      <c r="H207" s="147"/>
      <c r="I207" s="147"/>
    </row>
    <row r="208" spans="1:9">
      <c r="A208" s="147"/>
      <c r="B208" s="147"/>
      <c r="C208" s="147"/>
      <c r="D208" s="147"/>
      <c r="E208" s="147"/>
      <c r="F208" s="147"/>
      <c r="G208" s="147"/>
      <c r="H208" s="147"/>
      <c r="I208" s="147"/>
    </row>
    <row r="209" spans="1:9">
      <c r="A209" s="147"/>
      <c r="B209" s="147"/>
      <c r="C209" s="147"/>
      <c r="D209" s="147"/>
      <c r="E209" s="147"/>
      <c r="F209" s="147"/>
      <c r="G209" s="147"/>
      <c r="H209" s="147"/>
      <c r="I209" s="147"/>
    </row>
    <row r="210" spans="1:9">
      <c r="A210" s="147"/>
      <c r="B210" s="147"/>
      <c r="C210" s="147"/>
      <c r="D210" s="147"/>
      <c r="E210" s="147"/>
      <c r="F210" s="147"/>
      <c r="G210" s="147"/>
      <c r="H210" s="147"/>
      <c r="I210" s="147"/>
    </row>
    <row r="211" spans="1:9">
      <c r="A211" s="147"/>
      <c r="B211" s="147"/>
      <c r="C211" s="147"/>
      <c r="D211" s="147"/>
      <c r="E211" s="147"/>
      <c r="F211" s="147"/>
      <c r="G211" s="147"/>
      <c r="H211" s="147"/>
      <c r="I211" s="147"/>
    </row>
    <row r="212" spans="1:9">
      <c r="A212" s="147"/>
      <c r="B212" s="147"/>
      <c r="C212" s="147"/>
      <c r="D212" s="147"/>
      <c r="E212" s="147"/>
      <c r="F212" s="147"/>
      <c r="G212" s="147"/>
      <c r="H212" s="147"/>
      <c r="I212" s="147"/>
    </row>
    <row r="213" spans="1:9">
      <c r="A213" s="147"/>
      <c r="B213" s="147"/>
      <c r="C213" s="147"/>
      <c r="D213" s="147"/>
      <c r="E213" s="147"/>
      <c r="F213" s="147"/>
      <c r="G213" s="147"/>
      <c r="H213" s="147"/>
      <c r="I213" s="147"/>
    </row>
    <row r="214" spans="1:9">
      <c r="A214" s="147"/>
      <c r="B214" s="147"/>
      <c r="C214" s="147"/>
      <c r="D214" s="147"/>
      <c r="E214" s="147"/>
      <c r="F214" s="147"/>
      <c r="G214" s="147"/>
      <c r="H214" s="147"/>
      <c r="I214" s="147"/>
    </row>
    <row r="215" spans="1:9">
      <c r="A215" s="147"/>
      <c r="B215" s="147"/>
      <c r="C215" s="147"/>
      <c r="D215" s="147"/>
      <c r="E215" s="147"/>
      <c r="F215" s="147"/>
      <c r="G215" s="147"/>
      <c r="H215" s="147"/>
      <c r="I215" s="147"/>
    </row>
    <row r="216" spans="1:9">
      <c r="A216" s="147"/>
      <c r="B216" s="147"/>
      <c r="C216" s="147"/>
      <c r="D216" s="147"/>
      <c r="E216" s="147"/>
      <c r="F216" s="147"/>
      <c r="G216" s="147"/>
      <c r="H216" s="147"/>
      <c r="I216" s="147"/>
    </row>
    <row r="217" spans="1:9">
      <c r="A217" s="147"/>
      <c r="B217" s="147"/>
      <c r="C217" s="147"/>
      <c r="D217" s="147"/>
      <c r="E217" s="147"/>
      <c r="F217" s="147"/>
      <c r="G217" s="147"/>
      <c r="H217" s="147"/>
      <c r="I217" s="147"/>
    </row>
    <row r="218" spans="1:9">
      <c r="A218" s="147"/>
      <c r="B218" s="147"/>
      <c r="C218" s="147"/>
      <c r="D218" s="147"/>
      <c r="E218" s="147"/>
      <c r="F218" s="147"/>
      <c r="G218" s="147"/>
      <c r="H218" s="147"/>
      <c r="I218" s="147"/>
    </row>
    <row r="219" spans="1:9">
      <c r="A219" s="147"/>
      <c r="B219" s="147"/>
      <c r="C219" s="147"/>
      <c r="D219" s="147"/>
      <c r="E219" s="147"/>
      <c r="F219" s="147"/>
      <c r="G219" s="147"/>
      <c r="H219" s="147"/>
      <c r="I219" s="147"/>
    </row>
    <row r="220" spans="1:9">
      <c r="A220" s="147"/>
      <c r="B220" s="147"/>
      <c r="C220" s="147"/>
      <c r="D220" s="147"/>
      <c r="E220" s="147"/>
      <c r="F220" s="147"/>
      <c r="G220" s="147"/>
      <c r="H220" s="147"/>
      <c r="I220" s="147"/>
    </row>
    <row r="221" spans="1:9">
      <c r="A221" s="147"/>
      <c r="B221" s="147"/>
      <c r="C221" s="147"/>
      <c r="D221" s="147"/>
      <c r="E221" s="147"/>
      <c r="F221" s="147"/>
      <c r="G221" s="147"/>
      <c r="H221" s="147"/>
      <c r="I221" s="147"/>
    </row>
    <row r="222" spans="1:9">
      <c r="A222" s="147"/>
      <c r="B222" s="147"/>
      <c r="C222" s="147"/>
      <c r="D222" s="147"/>
      <c r="E222" s="147"/>
      <c r="F222" s="147"/>
      <c r="G222" s="147"/>
      <c r="H222" s="147"/>
      <c r="I222" s="147"/>
    </row>
    <row r="223" spans="1:9">
      <c r="A223" s="147"/>
      <c r="B223" s="147"/>
      <c r="C223" s="147"/>
      <c r="D223" s="147"/>
      <c r="E223" s="147"/>
      <c r="F223" s="147"/>
      <c r="G223" s="147"/>
      <c r="H223" s="147"/>
      <c r="I223" s="147"/>
    </row>
    <row r="224" spans="1:9">
      <c r="A224" s="147"/>
      <c r="B224" s="147"/>
      <c r="C224" s="147"/>
      <c r="D224" s="147"/>
      <c r="E224" s="147"/>
      <c r="F224" s="147"/>
      <c r="G224" s="147"/>
      <c r="H224" s="147"/>
      <c r="I224" s="147"/>
    </row>
    <row r="225" spans="1:9">
      <c r="A225" s="147"/>
      <c r="B225" s="147"/>
      <c r="C225" s="147"/>
      <c r="D225" s="147"/>
      <c r="E225" s="147"/>
      <c r="F225" s="147"/>
      <c r="G225" s="147"/>
      <c r="H225" s="147"/>
      <c r="I225" s="147"/>
    </row>
    <row r="226" spans="1:9">
      <c r="A226" s="147"/>
      <c r="B226" s="147"/>
      <c r="C226" s="147"/>
      <c r="D226" s="147"/>
      <c r="E226" s="147"/>
      <c r="F226" s="147"/>
      <c r="G226" s="147"/>
      <c r="H226" s="147"/>
      <c r="I226" s="147"/>
    </row>
    <row r="227" spans="1:9">
      <c r="A227" s="147"/>
      <c r="B227" s="147"/>
      <c r="C227" s="147"/>
      <c r="D227" s="147"/>
      <c r="E227" s="147"/>
      <c r="F227" s="147"/>
      <c r="G227" s="147"/>
      <c r="H227" s="147"/>
      <c r="I227" s="147"/>
    </row>
    <row r="228" spans="1:9">
      <c r="A228" s="147"/>
      <c r="B228" s="147"/>
      <c r="C228" s="147"/>
      <c r="D228" s="147"/>
      <c r="E228" s="147"/>
      <c r="F228" s="147"/>
      <c r="G228" s="147"/>
      <c r="H228" s="147"/>
      <c r="I228" s="147"/>
    </row>
    <row r="229" spans="1:9">
      <c r="A229" s="147"/>
      <c r="B229" s="147"/>
      <c r="C229" s="147"/>
      <c r="D229" s="147"/>
      <c r="E229" s="147"/>
      <c r="F229" s="147"/>
      <c r="G229" s="147"/>
      <c r="H229" s="147"/>
      <c r="I229" s="147"/>
    </row>
    <row r="230" spans="1:9">
      <c r="A230" s="147"/>
      <c r="B230" s="147"/>
      <c r="C230" s="147"/>
      <c r="D230" s="147"/>
      <c r="E230" s="147"/>
      <c r="F230" s="147"/>
      <c r="G230" s="147"/>
      <c r="H230" s="147"/>
      <c r="I230" s="147"/>
    </row>
    <row r="231" spans="1:9">
      <c r="A231" s="147"/>
      <c r="B231" s="147"/>
      <c r="C231" s="147"/>
      <c r="D231" s="147"/>
      <c r="E231" s="147"/>
      <c r="F231" s="147"/>
      <c r="G231" s="147"/>
      <c r="H231" s="147"/>
      <c r="I231" s="147"/>
    </row>
    <row r="232" spans="1:9">
      <c r="A232" s="147"/>
      <c r="B232" s="147"/>
      <c r="C232" s="147"/>
      <c r="D232" s="147"/>
      <c r="E232" s="147"/>
      <c r="F232" s="147"/>
      <c r="G232" s="147"/>
      <c r="H232" s="147"/>
      <c r="I232" s="147"/>
    </row>
    <row r="233" spans="1:9">
      <c r="A233" s="147"/>
      <c r="B233" s="147"/>
      <c r="C233" s="147"/>
      <c r="D233" s="147"/>
      <c r="E233" s="147"/>
      <c r="F233" s="147"/>
      <c r="G233" s="147"/>
      <c r="H233" s="147"/>
      <c r="I233" s="147"/>
    </row>
    <row r="234" spans="1:9">
      <c r="A234" s="147"/>
      <c r="B234" s="147"/>
      <c r="C234" s="147"/>
      <c r="D234" s="147"/>
      <c r="E234" s="147"/>
      <c r="F234" s="147"/>
      <c r="G234" s="147"/>
      <c r="H234" s="147"/>
      <c r="I234" s="147"/>
    </row>
    <row r="235" spans="1:9">
      <c r="A235" s="147"/>
      <c r="B235" s="147"/>
      <c r="C235" s="147"/>
      <c r="D235" s="147"/>
      <c r="E235" s="147"/>
      <c r="F235" s="147"/>
      <c r="G235" s="147"/>
      <c r="H235" s="147"/>
      <c r="I235" s="147"/>
    </row>
    <row r="236" spans="1:9">
      <c r="A236" s="147"/>
      <c r="B236" s="147"/>
      <c r="C236" s="147"/>
      <c r="D236" s="147"/>
      <c r="E236" s="147"/>
      <c r="F236" s="147"/>
      <c r="G236" s="147"/>
      <c r="H236" s="147"/>
      <c r="I236" s="147"/>
    </row>
    <row r="237" spans="1:9">
      <c r="A237" s="147"/>
      <c r="B237" s="147"/>
      <c r="C237" s="147"/>
      <c r="D237" s="147"/>
      <c r="E237" s="147"/>
      <c r="F237" s="147"/>
      <c r="G237" s="147"/>
      <c r="H237" s="147"/>
      <c r="I237" s="147"/>
    </row>
    <row r="238" spans="1:9">
      <c r="A238" s="147"/>
      <c r="B238" s="147"/>
      <c r="C238" s="147"/>
      <c r="D238" s="147"/>
      <c r="E238" s="147"/>
      <c r="F238" s="147"/>
      <c r="G238" s="147"/>
      <c r="H238" s="147"/>
      <c r="I238" s="147"/>
    </row>
    <row r="239" spans="1:9">
      <c r="A239" s="147"/>
      <c r="B239" s="147"/>
      <c r="C239" s="147"/>
      <c r="D239" s="147"/>
      <c r="E239" s="147"/>
      <c r="F239" s="147"/>
      <c r="G239" s="147"/>
      <c r="H239" s="147"/>
      <c r="I239" s="147"/>
    </row>
    <row r="240" spans="1:9">
      <c r="A240" s="147"/>
      <c r="B240" s="147"/>
      <c r="C240" s="147"/>
      <c r="D240" s="147"/>
      <c r="E240" s="147"/>
      <c r="F240" s="147"/>
      <c r="G240" s="147"/>
      <c r="H240" s="147"/>
      <c r="I240" s="147"/>
    </row>
    <row r="241" spans="1:9">
      <c r="A241" s="147"/>
      <c r="B241" s="147"/>
      <c r="C241" s="147"/>
      <c r="D241" s="147"/>
      <c r="E241" s="147"/>
      <c r="F241" s="147"/>
      <c r="G241" s="147"/>
      <c r="H241" s="147"/>
      <c r="I241" s="147"/>
    </row>
    <row r="242" spans="1:9">
      <c r="A242" s="147"/>
      <c r="B242" s="147"/>
      <c r="C242" s="147"/>
      <c r="D242" s="147"/>
      <c r="E242" s="147"/>
      <c r="F242" s="147"/>
      <c r="G242" s="147"/>
      <c r="H242" s="147"/>
      <c r="I242" s="147"/>
    </row>
    <row r="243" spans="1:9">
      <c r="A243" s="147"/>
      <c r="B243" s="147"/>
      <c r="C243" s="147"/>
      <c r="D243" s="147"/>
      <c r="E243" s="147"/>
      <c r="F243" s="147"/>
      <c r="G243" s="147"/>
      <c r="H243" s="147"/>
      <c r="I243" s="147"/>
    </row>
    <row r="244" spans="1:9">
      <c r="A244" s="147"/>
      <c r="B244" s="147"/>
      <c r="C244" s="147"/>
      <c r="D244" s="147"/>
      <c r="E244" s="147"/>
      <c r="F244" s="147"/>
      <c r="G244" s="147"/>
      <c r="H244" s="147"/>
      <c r="I244" s="147"/>
    </row>
    <row r="245" spans="1:9">
      <c r="A245" s="147"/>
      <c r="B245" s="147"/>
      <c r="C245" s="147"/>
      <c r="D245" s="147"/>
      <c r="E245" s="147"/>
      <c r="F245" s="147"/>
      <c r="G245" s="147"/>
      <c r="H245" s="147"/>
      <c r="I245" s="147"/>
    </row>
    <row r="246" spans="1:9">
      <c r="A246" s="147"/>
      <c r="B246" s="147"/>
      <c r="C246" s="147"/>
      <c r="D246" s="147"/>
      <c r="E246" s="147"/>
      <c r="F246" s="147"/>
      <c r="G246" s="147"/>
      <c r="H246" s="147"/>
      <c r="I246" s="147"/>
    </row>
    <row r="247" spans="1:9">
      <c r="A247" s="147"/>
      <c r="B247" s="147"/>
      <c r="C247" s="147"/>
      <c r="D247" s="147"/>
      <c r="E247" s="147"/>
      <c r="F247" s="147"/>
      <c r="G247" s="147"/>
      <c r="H247" s="147"/>
      <c r="I247" s="147"/>
    </row>
    <row r="248" spans="1:9">
      <c r="A248" s="147"/>
      <c r="B248" s="147"/>
      <c r="C248" s="147"/>
      <c r="D248" s="147"/>
      <c r="E248" s="147"/>
      <c r="F248" s="147"/>
      <c r="G248" s="147"/>
      <c r="H248" s="147"/>
      <c r="I248" s="147"/>
    </row>
    <row r="249" spans="1:9">
      <c r="A249" s="147"/>
      <c r="B249" s="147"/>
      <c r="C249" s="147"/>
      <c r="D249" s="147"/>
      <c r="E249" s="147"/>
      <c r="F249" s="147"/>
      <c r="G249" s="147"/>
      <c r="H249" s="147"/>
      <c r="I249" s="147"/>
    </row>
    <row r="250" spans="1:9">
      <c r="A250" s="147"/>
      <c r="B250" s="147"/>
      <c r="C250" s="147"/>
      <c r="D250" s="147"/>
      <c r="E250" s="147"/>
      <c r="F250" s="147"/>
      <c r="G250" s="147"/>
      <c r="H250" s="147"/>
      <c r="I250" s="147"/>
    </row>
    <row r="251" spans="1:9">
      <c r="A251" s="147"/>
      <c r="B251" s="147"/>
      <c r="C251" s="147"/>
      <c r="D251" s="147"/>
      <c r="E251" s="147"/>
      <c r="F251" s="147"/>
      <c r="G251" s="147"/>
      <c r="H251" s="147"/>
      <c r="I251" s="147"/>
    </row>
    <row r="252" spans="1:9">
      <c r="A252" s="147"/>
      <c r="B252" s="147"/>
      <c r="C252" s="147"/>
      <c r="D252" s="147"/>
      <c r="E252" s="147"/>
      <c r="F252" s="147"/>
      <c r="G252" s="147"/>
      <c r="H252" s="147"/>
      <c r="I252" s="147"/>
    </row>
    <row r="253" spans="1:9">
      <c r="A253" s="147"/>
      <c r="B253" s="147"/>
      <c r="C253" s="147"/>
      <c r="D253" s="147"/>
      <c r="E253" s="147"/>
      <c r="F253" s="147"/>
      <c r="G253" s="147"/>
      <c r="H253" s="147"/>
      <c r="I253" s="147"/>
    </row>
    <row r="254" spans="1:9">
      <c r="A254" s="147"/>
      <c r="B254" s="147"/>
      <c r="C254" s="147"/>
      <c r="D254" s="147"/>
      <c r="E254" s="147"/>
      <c r="F254" s="147"/>
      <c r="G254" s="147"/>
      <c r="H254" s="147"/>
      <c r="I254" s="147"/>
    </row>
    <row r="255" spans="1:9">
      <c r="A255" s="147"/>
      <c r="B255" s="147"/>
      <c r="C255" s="147"/>
      <c r="D255" s="147"/>
      <c r="E255" s="147"/>
      <c r="F255" s="147"/>
      <c r="G255" s="147"/>
      <c r="H255" s="147"/>
      <c r="I255" s="147"/>
    </row>
    <row r="256" spans="1:9">
      <c r="A256" s="147"/>
      <c r="B256" s="147"/>
      <c r="C256" s="147"/>
      <c r="D256" s="147"/>
      <c r="E256" s="147"/>
      <c r="F256" s="147"/>
      <c r="G256" s="147"/>
      <c r="H256" s="147"/>
      <c r="I256" s="147"/>
    </row>
    <row r="257" spans="1:9">
      <c r="A257" s="147"/>
      <c r="B257" s="147"/>
      <c r="C257" s="147"/>
      <c r="D257" s="147"/>
      <c r="E257" s="147"/>
      <c r="F257" s="147"/>
      <c r="G257" s="147"/>
      <c r="H257" s="147"/>
      <c r="I257" s="147"/>
    </row>
    <row r="258" spans="1:9">
      <c r="A258" s="147"/>
      <c r="B258" s="147"/>
      <c r="C258" s="147"/>
      <c r="D258" s="147"/>
      <c r="E258" s="147"/>
      <c r="F258" s="147"/>
      <c r="G258" s="147"/>
      <c r="H258" s="147"/>
      <c r="I258" s="147"/>
    </row>
    <row r="259" spans="1:9">
      <c r="A259" s="147"/>
      <c r="B259" s="147"/>
      <c r="C259" s="147"/>
      <c r="D259" s="147"/>
      <c r="E259" s="147"/>
      <c r="F259" s="147"/>
      <c r="G259" s="147"/>
      <c r="H259" s="147"/>
      <c r="I259" s="147"/>
    </row>
    <row r="260" spans="1:9">
      <c r="A260" s="147"/>
      <c r="B260" s="147"/>
      <c r="C260" s="147"/>
      <c r="D260" s="147"/>
      <c r="E260" s="147"/>
      <c r="F260" s="147"/>
      <c r="G260" s="147"/>
      <c r="H260" s="147"/>
      <c r="I260" s="147"/>
    </row>
    <row r="261" spans="1:9">
      <c r="A261" s="147"/>
      <c r="B261" s="147"/>
      <c r="C261" s="147"/>
      <c r="D261" s="147"/>
      <c r="E261" s="147"/>
      <c r="F261" s="147"/>
      <c r="G261" s="147"/>
      <c r="H261" s="147"/>
      <c r="I261" s="147"/>
    </row>
    <row r="262" spans="1:9">
      <c r="A262" s="147"/>
      <c r="B262" s="147"/>
      <c r="C262" s="147"/>
      <c r="D262" s="147"/>
      <c r="E262" s="147"/>
      <c r="F262" s="147"/>
      <c r="G262" s="147"/>
      <c r="H262" s="147"/>
      <c r="I262" s="147"/>
    </row>
    <row r="263" spans="1:9">
      <c r="A263" s="147"/>
      <c r="B263" s="147"/>
      <c r="C263" s="147"/>
      <c r="D263" s="147"/>
      <c r="E263" s="147"/>
      <c r="F263" s="147"/>
      <c r="G263" s="147"/>
      <c r="H263" s="147"/>
      <c r="I263" s="147"/>
    </row>
    <row r="264" spans="1:9">
      <c r="A264" s="147"/>
      <c r="B264" s="147"/>
      <c r="C264" s="147"/>
      <c r="D264" s="147"/>
      <c r="E264" s="147"/>
      <c r="F264" s="147"/>
      <c r="G264" s="147"/>
      <c r="H264" s="147"/>
      <c r="I264" s="147"/>
    </row>
    <row r="265" spans="1:9">
      <c r="A265" s="147"/>
      <c r="B265" s="147"/>
      <c r="C265" s="147"/>
      <c r="D265" s="147"/>
      <c r="E265" s="147"/>
      <c r="F265" s="147"/>
      <c r="G265" s="147"/>
      <c r="H265" s="147"/>
      <c r="I265" s="147"/>
    </row>
    <row r="266" spans="1:9">
      <c r="A266" s="147"/>
      <c r="B266" s="147"/>
      <c r="C266" s="147"/>
      <c r="D266" s="147"/>
      <c r="E266" s="147"/>
      <c r="F266" s="147"/>
      <c r="G266" s="147"/>
      <c r="H266" s="147"/>
      <c r="I266" s="147"/>
    </row>
    <row r="267" spans="1:9">
      <c r="A267" s="147"/>
      <c r="B267" s="147"/>
      <c r="C267" s="147"/>
      <c r="D267" s="147"/>
      <c r="E267" s="147"/>
      <c r="F267" s="147"/>
      <c r="G267" s="147"/>
      <c r="H267" s="147"/>
      <c r="I267" s="147"/>
    </row>
    <row r="268" spans="1:9">
      <c r="A268" s="147"/>
      <c r="B268" s="147"/>
      <c r="C268" s="147"/>
      <c r="D268" s="147"/>
      <c r="E268" s="147"/>
      <c r="F268" s="147"/>
      <c r="G268" s="147"/>
      <c r="H268" s="147"/>
      <c r="I268" s="147"/>
    </row>
    <row r="269" spans="1:9">
      <c r="A269" s="147"/>
      <c r="B269" s="147"/>
      <c r="C269" s="147"/>
      <c r="D269" s="147"/>
      <c r="E269" s="147"/>
      <c r="F269" s="147"/>
      <c r="G269" s="147"/>
      <c r="H269" s="147"/>
      <c r="I269" s="147"/>
    </row>
    <row r="270" spans="1:9">
      <c r="A270" s="147"/>
      <c r="B270" s="147"/>
      <c r="C270" s="147"/>
      <c r="D270" s="147"/>
      <c r="E270" s="147"/>
      <c r="F270" s="147"/>
      <c r="G270" s="147"/>
      <c r="H270" s="147"/>
      <c r="I270" s="147"/>
    </row>
    <row r="271" spans="1:9">
      <c r="A271" s="147"/>
      <c r="B271" s="147"/>
      <c r="C271" s="147"/>
      <c r="D271" s="147"/>
      <c r="E271" s="147"/>
      <c r="F271" s="147"/>
      <c r="G271" s="147"/>
      <c r="H271" s="147"/>
      <c r="I271" s="147"/>
    </row>
    <row r="272" spans="1:9">
      <c r="A272" s="147"/>
      <c r="B272" s="147"/>
      <c r="C272" s="147"/>
      <c r="D272" s="147"/>
      <c r="E272" s="147"/>
      <c r="F272" s="147"/>
      <c r="G272" s="147"/>
      <c r="H272" s="147"/>
      <c r="I272" s="147"/>
    </row>
    <row r="273" spans="1:9">
      <c r="A273" s="147"/>
      <c r="B273" s="147"/>
      <c r="C273" s="147"/>
      <c r="D273" s="147"/>
      <c r="E273" s="147"/>
      <c r="F273" s="147"/>
      <c r="G273" s="147"/>
      <c r="H273" s="147"/>
      <c r="I273" s="147"/>
    </row>
    <row r="274" spans="1:9">
      <c r="A274" s="147"/>
      <c r="B274" s="147"/>
      <c r="C274" s="147"/>
      <c r="D274" s="147"/>
      <c r="E274" s="147"/>
      <c r="F274" s="147"/>
      <c r="G274" s="147"/>
      <c r="H274" s="147"/>
      <c r="I274" s="147"/>
    </row>
    <row r="275" spans="1:9">
      <c r="A275" s="147"/>
      <c r="B275" s="147"/>
      <c r="C275" s="147"/>
      <c r="D275" s="147"/>
      <c r="E275" s="147"/>
      <c r="F275" s="147"/>
      <c r="G275" s="147"/>
      <c r="H275" s="147"/>
      <c r="I275" s="147"/>
    </row>
    <row r="276" spans="1:9">
      <c r="A276" s="147"/>
      <c r="B276" s="147"/>
      <c r="C276" s="147"/>
      <c r="D276" s="147"/>
      <c r="E276" s="147"/>
      <c r="F276" s="147"/>
      <c r="G276" s="147"/>
      <c r="H276" s="147"/>
      <c r="I276" s="147"/>
    </row>
    <row r="277" spans="1:9">
      <c r="A277" s="147"/>
      <c r="B277" s="147"/>
      <c r="C277" s="147"/>
      <c r="D277" s="147"/>
      <c r="E277" s="147"/>
      <c r="F277" s="147"/>
      <c r="G277" s="147"/>
      <c r="H277" s="147"/>
      <c r="I277" s="147"/>
    </row>
    <row r="278" spans="1:9">
      <c r="A278" s="147"/>
      <c r="B278" s="147"/>
      <c r="C278" s="147"/>
      <c r="D278" s="147"/>
      <c r="E278" s="147"/>
      <c r="F278" s="147"/>
      <c r="G278" s="147"/>
      <c r="H278" s="147"/>
      <c r="I278" s="147"/>
    </row>
    <row r="279" spans="1:9">
      <c r="A279" s="147"/>
      <c r="B279" s="147"/>
      <c r="C279" s="147"/>
      <c r="D279" s="147"/>
      <c r="E279" s="147"/>
      <c r="F279" s="147"/>
      <c r="G279" s="147"/>
      <c r="H279" s="147"/>
      <c r="I279" s="147"/>
    </row>
    <row r="280" spans="1:9">
      <c r="A280" s="147"/>
      <c r="B280" s="147"/>
      <c r="C280" s="147"/>
      <c r="D280" s="147"/>
      <c r="E280" s="147"/>
      <c r="F280" s="147"/>
      <c r="G280" s="147"/>
      <c r="H280" s="147"/>
      <c r="I280" s="147"/>
    </row>
    <row r="281" spans="1:9">
      <c r="A281" s="147"/>
      <c r="B281" s="147"/>
      <c r="C281" s="147"/>
      <c r="D281" s="147"/>
      <c r="E281" s="147"/>
      <c r="F281" s="147"/>
      <c r="G281" s="147"/>
      <c r="H281" s="147"/>
      <c r="I281" s="147"/>
    </row>
    <row r="282" spans="1:9">
      <c r="A282" s="147"/>
      <c r="B282" s="147"/>
      <c r="C282" s="147"/>
      <c r="D282" s="147"/>
      <c r="E282" s="147"/>
      <c r="F282" s="147"/>
      <c r="G282" s="147"/>
      <c r="H282" s="147"/>
      <c r="I282" s="147"/>
    </row>
    <row r="283" spans="1:9">
      <c r="A283" s="147"/>
      <c r="B283" s="147"/>
      <c r="C283" s="147"/>
      <c r="D283" s="147"/>
      <c r="E283" s="147"/>
      <c r="F283" s="147"/>
      <c r="G283" s="147"/>
      <c r="H283" s="147"/>
      <c r="I283" s="147"/>
    </row>
    <row r="284" spans="1:9">
      <c r="A284" s="147"/>
      <c r="B284" s="147"/>
      <c r="C284" s="147"/>
      <c r="D284" s="147"/>
      <c r="E284" s="147"/>
      <c r="F284" s="147"/>
      <c r="G284" s="147"/>
      <c r="H284" s="147"/>
      <c r="I284" s="147"/>
    </row>
    <row r="285" spans="1:9">
      <c r="A285" s="147"/>
      <c r="B285" s="147"/>
      <c r="C285" s="147"/>
      <c r="D285" s="147"/>
      <c r="E285" s="147"/>
      <c r="F285" s="147"/>
      <c r="G285" s="147"/>
      <c r="H285" s="147"/>
      <c r="I285" s="147"/>
    </row>
    <row r="286" spans="1:9">
      <c r="A286" s="147"/>
      <c r="B286" s="147"/>
      <c r="C286" s="147"/>
      <c r="D286" s="147"/>
      <c r="E286" s="147"/>
      <c r="F286" s="147"/>
      <c r="G286" s="147"/>
      <c r="H286" s="147"/>
      <c r="I286" s="147"/>
    </row>
    <row r="287" spans="1:9">
      <c r="A287" s="147"/>
      <c r="B287" s="147"/>
      <c r="C287" s="147"/>
      <c r="D287" s="147"/>
      <c r="E287" s="147"/>
      <c r="F287" s="147"/>
      <c r="G287" s="147"/>
      <c r="H287" s="147"/>
      <c r="I287" s="147"/>
    </row>
    <row r="288" spans="1:9">
      <c r="A288" s="147"/>
      <c r="B288" s="147"/>
      <c r="C288" s="147"/>
      <c r="D288" s="147"/>
      <c r="E288" s="147"/>
      <c r="F288" s="147"/>
      <c r="G288" s="147"/>
      <c r="H288" s="147"/>
      <c r="I288" s="147"/>
    </row>
    <row r="289" spans="1:9">
      <c r="A289" s="147"/>
      <c r="B289" s="147"/>
      <c r="C289" s="147"/>
      <c r="D289" s="147"/>
      <c r="E289" s="147"/>
      <c r="F289" s="147"/>
      <c r="G289" s="147"/>
      <c r="H289" s="147"/>
      <c r="I289" s="147"/>
    </row>
    <row r="290" spans="1:9">
      <c r="A290" s="147"/>
      <c r="B290" s="147"/>
      <c r="C290" s="147"/>
      <c r="D290" s="147"/>
      <c r="E290" s="147"/>
      <c r="F290" s="147"/>
      <c r="G290" s="147"/>
      <c r="H290" s="147"/>
      <c r="I290" s="147"/>
    </row>
    <row r="291" spans="1:9">
      <c r="A291" s="147"/>
      <c r="B291" s="147"/>
      <c r="C291" s="147"/>
      <c r="D291" s="147"/>
      <c r="E291" s="147"/>
      <c r="F291" s="147"/>
      <c r="G291" s="147"/>
      <c r="H291" s="147"/>
      <c r="I291" s="147"/>
    </row>
    <row r="292" spans="1:9">
      <c r="A292" s="147"/>
      <c r="B292" s="147"/>
      <c r="C292" s="147"/>
      <c r="D292" s="147"/>
      <c r="E292" s="147"/>
      <c r="F292" s="147"/>
      <c r="G292" s="147"/>
      <c r="H292" s="147"/>
      <c r="I292" s="147"/>
    </row>
    <row r="293" spans="1:9">
      <c r="A293" s="147"/>
      <c r="B293" s="147"/>
      <c r="C293" s="147"/>
      <c r="D293" s="147"/>
      <c r="E293" s="147"/>
      <c r="F293" s="147"/>
      <c r="G293" s="147"/>
      <c r="H293" s="147"/>
      <c r="I293" s="147"/>
    </row>
    <row r="294" spans="1:9">
      <c r="A294" s="147"/>
      <c r="B294" s="147"/>
      <c r="C294" s="147"/>
      <c r="D294" s="147"/>
      <c r="E294" s="147"/>
      <c r="F294" s="147"/>
      <c r="G294" s="147"/>
      <c r="H294" s="147"/>
      <c r="I294" s="147"/>
    </row>
    <row r="295" spans="1:9">
      <c r="A295" s="147"/>
      <c r="B295" s="147"/>
      <c r="C295" s="147"/>
      <c r="D295" s="147"/>
      <c r="E295" s="147"/>
      <c r="F295" s="147"/>
      <c r="G295" s="147"/>
      <c r="H295" s="147"/>
      <c r="I295" s="147"/>
    </row>
    <row r="296" spans="1:9">
      <c r="A296" s="147"/>
      <c r="B296" s="147"/>
      <c r="C296" s="147"/>
      <c r="D296" s="147"/>
      <c r="E296" s="147"/>
      <c r="F296" s="147"/>
      <c r="G296" s="147"/>
      <c r="H296" s="147"/>
      <c r="I296" s="147"/>
    </row>
    <row r="297" spans="1:9">
      <c r="A297" s="147"/>
      <c r="B297" s="147"/>
      <c r="C297" s="147"/>
      <c r="D297" s="147"/>
      <c r="E297" s="147"/>
      <c r="F297" s="147"/>
      <c r="G297" s="147"/>
      <c r="H297" s="147"/>
      <c r="I297" s="147"/>
    </row>
    <row r="298" spans="1:9">
      <c r="A298" s="147"/>
      <c r="B298" s="147"/>
      <c r="C298" s="147"/>
      <c r="D298" s="147"/>
      <c r="E298" s="147"/>
      <c r="F298" s="147"/>
      <c r="G298" s="147"/>
      <c r="H298" s="147"/>
      <c r="I298" s="147"/>
    </row>
    <row r="299" spans="1:9">
      <c r="A299" s="147"/>
      <c r="B299" s="147"/>
      <c r="C299" s="147"/>
      <c r="D299" s="147"/>
      <c r="E299" s="147"/>
      <c r="F299" s="147"/>
      <c r="G299" s="147"/>
      <c r="H299" s="147"/>
      <c r="I299" s="147"/>
    </row>
    <row r="300" spans="1:9">
      <c r="A300" s="147"/>
      <c r="B300" s="147"/>
      <c r="C300" s="147"/>
      <c r="D300" s="147"/>
      <c r="E300" s="147"/>
      <c r="F300" s="147"/>
      <c r="G300" s="147"/>
      <c r="H300" s="147"/>
      <c r="I300" s="147"/>
    </row>
    <row r="301" spans="1:9">
      <c r="A301" s="147"/>
      <c r="B301" s="147"/>
      <c r="C301" s="147"/>
      <c r="D301" s="147"/>
      <c r="E301" s="147"/>
      <c r="F301" s="147"/>
      <c r="G301" s="147"/>
      <c r="H301" s="147"/>
      <c r="I301" s="147"/>
    </row>
    <row r="302" spans="1:9">
      <c r="A302" s="147"/>
      <c r="B302" s="147"/>
      <c r="C302" s="147"/>
      <c r="D302" s="147"/>
      <c r="E302" s="147"/>
      <c r="F302" s="147"/>
      <c r="G302" s="147"/>
      <c r="H302" s="147"/>
      <c r="I302" s="147"/>
    </row>
    <row r="303" spans="1:9">
      <c r="A303" s="147"/>
      <c r="B303" s="147"/>
      <c r="C303" s="147"/>
      <c r="D303" s="147"/>
      <c r="E303" s="147"/>
      <c r="F303" s="147"/>
      <c r="G303" s="147"/>
      <c r="H303" s="147"/>
      <c r="I303" s="147"/>
    </row>
    <row r="304" spans="1:9">
      <c r="A304" s="147"/>
      <c r="B304" s="147"/>
      <c r="C304" s="147"/>
      <c r="D304" s="147"/>
      <c r="E304" s="147"/>
      <c r="F304" s="147"/>
      <c r="G304" s="147"/>
      <c r="H304" s="147"/>
      <c r="I304" s="147"/>
    </row>
    <row r="305" spans="1:9">
      <c r="A305" s="147"/>
      <c r="B305" s="147"/>
      <c r="C305" s="147"/>
      <c r="D305" s="147"/>
      <c r="E305" s="147"/>
      <c r="F305" s="147"/>
      <c r="G305" s="147"/>
      <c r="H305" s="147"/>
      <c r="I305" s="147"/>
    </row>
    <row r="306" spans="1:9">
      <c r="A306" s="147"/>
      <c r="B306" s="147"/>
      <c r="C306" s="147"/>
      <c r="D306" s="147"/>
      <c r="E306" s="147"/>
      <c r="F306" s="147"/>
      <c r="G306" s="147"/>
      <c r="H306" s="147"/>
      <c r="I306" s="147"/>
    </row>
    <row r="307" spans="1:9">
      <c r="A307" s="147"/>
      <c r="B307" s="147"/>
      <c r="C307" s="147"/>
      <c r="D307" s="147"/>
      <c r="E307" s="147"/>
      <c r="F307" s="147"/>
      <c r="G307" s="147"/>
      <c r="H307" s="147"/>
      <c r="I307" s="147"/>
    </row>
    <row r="308" spans="1:9">
      <c r="A308" s="147"/>
      <c r="B308" s="147"/>
      <c r="C308" s="147"/>
      <c r="D308" s="147"/>
      <c r="E308" s="147"/>
      <c r="F308" s="147"/>
      <c r="G308" s="147"/>
      <c r="H308" s="147"/>
      <c r="I308" s="147"/>
    </row>
    <row r="309" spans="1:9">
      <c r="A309" s="147"/>
      <c r="B309" s="147"/>
      <c r="C309" s="147"/>
      <c r="D309" s="147"/>
      <c r="E309" s="147"/>
      <c r="F309" s="147"/>
      <c r="G309" s="147"/>
      <c r="H309" s="147"/>
      <c r="I309" s="147"/>
    </row>
    <row r="310" spans="1:9">
      <c r="A310" s="147"/>
      <c r="B310" s="147"/>
      <c r="C310" s="147"/>
      <c r="D310" s="147"/>
      <c r="E310" s="147"/>
      <c r="F310" s="147"/>
      <c r="G310" s="147"/>
      <c r="H310" s="147"/>
      <c r="I310" s="147"/>
    </row>
    <row r="311" spans="1:9">
      <c r="A311" s="147"/>
      <c r="B311" s="147"/>
      <c r="C311" s="147"/>
      <c r="D311" s="147"/>
      <c r="E311" s="147"/>
      <c r="F311" s="147"/>
      <c r="G311" s="147"/>
      <c r="H311" s="147"/>
      <c r="I311" s="147"/>
    </row>
    <row r="312" spans="1:9">
      <c r="A312" s="147"/>
      <c r="B312" s="147"/>
      <c r="C312" s="147"/>
      <c r="D312" s="147"/>
      <c r="E312" s="147"/>
      <c r="F312" s="147"/>
      <c r="G312" s="147"/>
      <c r="H312" s="147"/>
      <c r="I312" s="147"/>
    </row>
    <row r="313" spans="1:9">
      <c r="A313" s="147"/>
      <c r="B313" s="147"/>
      <c r="C313" s="147"/>
      <c r="D313" s="147"/>
      <c r="E313" s="147"/>
      <c r="F313" s="147"/>
      <c r="G313" s="147"/>
      <c r="H313" s="147"/>
      <c r="I313" s="147"/>
    </row>
    <row r="314" spans="1:9">
      <c r="A314" s="147"/>
      <c r="B314" s="147"/>
      <c r="C314" s="147"/>
      <c r="D314" s="147"/>
      <c r="E314" s="147"/>
      <c r="F314" s="147"/>
      <c r="G314" s="147"/>
      <c r="H314" s="147"/>
      <c r="I314" s="147"/>
    </row>
    <row r="315" spans="1:9">
      <c r="A315" s="147"/>
      <c r="B315" s="147"/>
      <c r="C315" s="147"/>
      <c r="D315" s="147"/>
      <c r="E315" s="147"/>
      <c r="F315" s="147"/>
      <c r="G315" s="147"/>
      <c r="H315" s="147"/>
      <c r="I315" s="147"/>
    </row>
    <row r="316" spans="1:9">
      <c r="A316" s="147"/>
      <c r="B316" s="147"/>
      <c r="C316" s="147"/>
      <c r="D316" s="147"/>
      <c r="E316" s="147"/>
      <c r="F316" s="147"/>
      <c r="G316" s="147"/>
      <c r="H316" s="147"/>
      <c r="I316" s="147"/>
    </row>
    <row r="317" spans="1:9">
      <c r="A317" s="147"/>
      <c r="B317" s="147"/>
      <c r="C317" s="147"/>
      <c r="D317" s="147"/>
      <c r="E317" s="147"/>
      <c r="F317" s="147"/>
      <c r="G317" s="147"/>
      <c r="H317" s="147"/>
      <c r="I317" s="147"/>
    </row>
    <row r="318" spans="1:9">
      <c r="A318" s="147"/>
      <c r="B318" s="147"/>
      <c r="C318" s="147"/>
      <c r="D318" s="147"/>
      <c r="E318" s="147"/>
      <c r="F318" s="147"/>
      <c r="G318" s="147"/>
      <c r="H318" s="147"/>
      <c r="I318" s="147"/>
    </row>
    <row r="319" spans="1:9">
      <c r="A319" s="147"/>
      <c r="B319" s="147"/>
      <c r="C319" s="147"/>
      <c r="D319" s="147"/>
      <c r="E319" s="147"/>
      <c r="F319" s="147"/>
      <c r="G319" s="147"/>
      <c r="H319" s="147"/>
      <c r="I319" s="147"/>
    </row>
    <row r="320" spans="1:9">
      <c r="A320" s="147"/>
      <c r="B320" s="147"/>
      <c r="C320" s="147"/>
      <c r="D320" s="147"/>
      <c r="E320" s="147"/>
      <c r="F320" s="147"/>
      <c r="G320" s="147"/>
      <c r="H320" s="147"/>
      <c r="I320" s="147"/>
    </row>
    <row r="321" spans="1:9">
      <c r="A321" s="147"/>
      <c r="B321" s="147"/>
      <c r="C321" s="147"/>
      <c r="D321" s="147"/>
      <c r="E321" s="147"/>
      <c r="F321" s="147"/>
      <c r="G321" s="147"/>
      <c r="H321" s="147"/>
      <c r="I321" s="147"/>
    </row>
    <row r="322" spans="1:9">
      <c r="A322" s="147"/>
      <c r="B322" s="147"/>
      <c r="C322" s="147"/>
      <c r="D322" s="147"/>
      <c r="E322" s="147"/>
      <c r="F322" s="147"/>
      <c r="G322" s="147"/>
      <c r="H322" s="147"/>
      <c r="I322" s="147"/>
    </row>
    <row r="323" spans="1:9">
      <c r="A323" s="147"/>
      <c r="B323" s="147"/>
      <c r="C323" s="147"/>
      <c r="D323" s="147"/>
      <c r="E323" s="147"/>
      <c r="F323" s="147"/>
      <c r="G323" s="147"/>
      <c r="H323" s="147"/>
      <c r="I323" s="147"/>
    </row>
    <row r="324" spans="1:9">
      <c r="A324" s="147"/>
      <c r="B324" s="147"/>
      <c r="C324" s="147"/>
      <c r="D324" s="147"/>
      <c r="E324" s="147"/>
      <c r="F324" s="147"/>
      <c r="G324" s="147"/>
      <c r="H324" s="147"/>
      <c r="I324" s="147"/>
    </row>
    <row r="325" spans="1:9">
      <c r="A325" s="147"/>
      <c r="B325" s="147"/>
      <c r="C325" s="147"/>
      <c r="D325" s="147"/>
      <c r="E325" s="147"/>
      <c r="F325" s="147"/>
      <c r="G325" s="147"/>
      <c r="H325" s="147"/>
      <c r="I325" s="147"/>
    </row>
    <row r="326" spans="1:9">
      <c r="A326" s="147"/>
      <c r="B326" s="147"/>
      <c r="C326" s="147"/>
      <c r="D326" s="147"/>
      <c r="E326" s="147"/>
      <c r="F326" s="147"/>
      <c r="G326" s="147"/>
      <c r="H326" s="147"/>
      <c r="I326" s="147"/>
    </row>
    <row r="327" spans="1:9">
      <c r="A327" s="147"/>
      <c r="B327" s="147"/>
      <c r="C327" s="147"/>
      <c r="D327" s="147"/>
      <c r="E327" s="147"/>
      <c r="F327" s="147"/>
      <c r="G327" s="147"/>
      <c r="H327" s="147"/>
      <c r="I327" s="147"/>
    </row>
    <row r="328" spans="1:9">
      <c r="A328" s="147"/>
      <c r="B328" s="147"/>
      <c r="C328" s="147"/>
      <c r="D328" s="147"/>
      <c r="E328" s="147"/>
      <c r="F328" s="147"/>
      <c r="G328" s="147"/>
      <c r="H328" s="147"/>
      <c r="I328" s="147"/>
    </row>
    <row r="329" spans="1:9">
      <c r="A329" s="147"/>
      <c r="B329" s="147"/>
      <c r="C329" s="147"/>
      <c r="D329" s="147"/>
      <c r="E329" s="147"/>
      <c r="F329" s="147"/>
      <c r="G329" s="147"/>
      <c r="H329" s="147"/>
      <c r="I329" s="147"/>
    </row>
    <row r="330" spans="1:9">
      <c r="A330" s="147"/>
      <c r="B330" s="147"/>
      <c r="C330" s="147"/>
      <c r="D330" s="147"/>
      <c r="E330" s="147"/>
      <c r="F330" s="147"/>
      <c r="G330" s="147"/>
      <c r="H330" s="147"/>
      <c r="I330" s="147"/>
    </row>
    <row r="331" spans="1:9">
      <c r="A331" s="147"/>
      <c r="B331" s="147"/>
      <c r="C331" s="147"/>
      <c r="D331" s="147"/>
      <c r="E331" s="147"/>
      <c r="F331" s="147"/>
      <c r="G331" s="147"/>
      <c r="H331" s="147"/>
      <c r="I331" s="147"/>
    </row>
    <row r="332" spans="1:9">
      <c r="A332" s="147"/>
      <c r="B332" s="147"/>
      <c r="C332" s="147"/>
      <c r="D332" s="147"/>
      <c r="E332" s="147"/>
      <c r="F332" s="147"/>
      <c r="G332" s="147"/>
      <c r="H332" s="147"/>
      <c r="I332" s="147"/>
    </row>
    <row r="333" spans="1:9">
      <c r="A333" s="147"/>
      <c r="B333" s="147"/>
      <c r="C333" s="147"/>
      <c r="D333" s="147"/>
      <c r="E333" s="147"/>
      <c r="F333" s="147"/>
      <c r="G333" s="147"/>
      <c r="H333" s="147"/>
      <c r="I333" s="147"/>
    </row>
    <row r="334" spans="1:9">
      <c r="A334" s="147"/>
      <c r="B334" s="147"/>
      <c r="C334" s="147"/>
      <c r="D334" s="147"/>
      <c r="E334" s="147"/>
      <c r="F334" s="147"/>
      <c r="G334" s="147"/>
      <c r="H334" s="147"/>
      <c r="I334" s="147"/>
    </row>
    <row r="335" spans="1:9">
      <c r="A335" s="147"/>
      <c r="B335" s="147"/>
      <c r="C335" s="147"/>
      <c r="D335" s="147"/>
      <c r="E335" s="147"/>
      <c r="F335" s="147"/>
      <c r="G335" s="147"/>
      <c r="H335" s="147"/>
      <c r="I335" s="147"/>
    </row>
    <row r="336" spans="1:9">
      <c r="A336" s="147"/>
      <c r="B336" s="147"/>
      <c r="C336" s="147"/>
      <c r="D336" s="147"/>
      <c r="E336" s="147"/>
      <c r="F336" s="147"/>
      <c r="G336" s="147"/>
      <c r="H336" s="147"/>
      <c r="I336" s="147"/>
    </row>
    <row r="337" spans="1:9">
      <c r="A337" s="147"/>
      <c r="B337" s="147"/>
      <c r="C337" s="147"/>
      <c r="D337" s="147"/>
      <c r="E337" s="147"/>
      <c r="F337" s="147"/>
      <c r="G337" s="147"/>
      <c r="H337" s="147"/>
      <c r="I337" s="147"/>
    </row>
    <row r="338" spans="1:9">
      <c r="A338" s="147"/>
      <c r="B338" s="147"/>
      <c r="C338" s="147"/>
      <c r="D338" s="147"/>
      <c r="E338" s="147"/>
      <c r="F338" s="147"/>
      <c r="G338" s="147"/>
      <c r="H338" s="147"/>
      <c r="I338" s="147"/>
    </row>
    <row r="339" spans="1:9">
      <c r="A339" s="147"/>
      <c r="B339" s="147"/>
      <c r="C339" s="147"/>
      <c r="D339" s="147"/>
      <c r="E339" s="147"/>
      <c r="F339" s="147"/>
      <c r="G339" s="147"/>
      <c r="H339" s="147"/>
      <c r="I339" s="147"/>
    </row>
    <row r="340" spans="1:9">
      <c r="A340" s="147"/>
      <c r="B340" s="147"/>
      <c r="C340" s="147"/>
      <c r="D340" s="147"/>
      <c r="E340" s="147"/>
      <c r="F340" s="147"/>
      <c r="G340" s="147"/>
      <c r="H340" s="147"/>
      <c r="I340" s="147"/>
    </row>
    <row r="341" spans="1:9">
      <c r="A341" s="147"/>
      <c r="B341" s="147"/>
      <c r="C341" s="147"/>
      <c r="D341" s="147"/>
      <c r="E341" s="147"/>
      <c r="F341" s="147"/>
      <c r="G341" s="147"/>
      <c r="H341" s="147"/>
      <c r="I341" s="147"/>
    </row>
    <row r="342" spans="1:9">
      <c r="A342" s="147"/>
      <c r="B342" s="147"/>
      <c r="C342" s="147"/>
      <c r="D342" s="147"/>
      <c r="E342" s="147"/>
      <c r="F342" s="147"/>
      <c r="G342" s="147"/>
      <c r="H342" s="147"/>
      <c r="I342" s="147"/>
    </row>
    <row r="343" spans="1:9">
      <c r="A343" s="147"/>
      <c r="B343" s="147"/>
      <c r="C343" s="147"/>
      <c r="D343" s="147"/>
      <c r="E343" s="147"/>
      <c r="F343" s="147"/>
      <c r="G343" s="147"/>
      <c r="H343" s="147"/>
      <c r="I343" s="147"/>
    </row>
    <row r="344" spans="1:9">
      <c r="A344" s="147"/>
      <c r="B344" s="147"/>
      <c r="C344" s="147"/>
      <c r="D344" s="147"/>
      <c r="E344" s="147"/>
      <c r="F344" s="147"/>
      <c r="G344" s="147"/>
      <c r="H344" s="147"/>
      <c r="I344" s="147"/>
    </row>
    <row r="345" spans="1:9">
      <c r="A345" s="147"/>
      <c r="B345" s="147"/>
      <c r="C345" s="147"/>
      <c r="D345" s="147"/>
      <c r="E345" s="147"/>
      <c r="F345" s="147"/>
      <c r="G345" s="147"/>
      <c r="H345" s="147"/>
      <c r="I345" s="147"/>
    </row>
    <row r="346" spans="1:9">
      <c r="A346" s="147"/>
      <c r="B346" s="147"/>
      <c r="C346" s="147"/>
      <c r="D346" s="147"/>
      <c r="E346" s="147"/>
      <c r="F346" s="147"/>
      <c r="G346" s="147"/>
      <c r="H346" s="147"/>
      <c r="I346" s="147"/>
    </row>
    <row r="347" spans="1:9">
      <c r="A347" s="147"/>
      <c r="B347" s="147"/>
      <c r="C347" s="147"/>
      <c r="D347" s="147"/>
      <c r="E347" s="147"/>
      <c r="F347" s="147"/>
      <c r="G347" s="147"/>
      <c r="H347" s="147"/>
      <c r="I347" s="147"/>
    </row>
    <row r="348" spans="1:9">
      <c r="A348" s="147"/>
      <c r="B348" s="147"/>
      <c r="C348" s="147"/>
      <c r="D348" s="147"/>
      <c r="E348" s="147"/>
      <c r="F348" s="147"/>
      <c r="G348" s="147"/>
      <c r="H348" s="147"/>
      <c r="I348" s="147"/>
    </row>
    <row r="349" spans="1:9">
      <c r="A349" s="147"/>
      <c r="B349" s="147"/>
      <c r="C349" s="147"/>
      <c r="D349" s="147"/>
      <c r="E349" s="147"/>
      <c r="F349" s="147"/>
      <c r="G349" s="147"/>
      <c r="H349" s="147"/>
      <c r="I349" s="147"/>
    </row>
    <row r="350" spans="1:9">
      <c r="A350" s="147"/>
      <c r="B350" s="147"/>
      <c r="C350" s="147"/>
      <c r="D350" s="147"/>
      <c r="E350" s="147"/>
      <c r="F350" s="147"/>
      <c r="G350" s="147"/>
      <c r="H350" s="147"/>
      <c r="I350" s="147"/>
    </row>
    <row r="351" spans="1:9">
      <c r="A351" s="147"/>
      <c r="B351" s="147"/>
      <c r="C351" s="147"/>
      <c r="D351" s="147"/>
      <c r="E351" s="147"/>
      <c r="F351" s="147"/>
      <c r="G351" s="147"/>
      <c r="H351" s="147"/>
      <c r="I351" s="147"/>
    </row>
    <row r="352" spans="1:9">
      <c r="A352" s="147"/>
      <c r="B352" s="147"/>
      <c r="C352" s="147"/>
      <c r="D352" s="147"/>
      <c r="E352" s="147"/>
      <c r="F352" s="147"/>
      <c r="G352" s="147"/>
      <c r="H352" s="147"/>
      <c r="I352" s="147"/>
    </row>
    <row r="353" spans="1:9">
      <c r="A353" s="147"/>
      <c r="B353" s="147"/>
      <c r="C353" s="147"/>
      <c r="D353" s="147"/>
      <c r="E353" s="147"/>
      <c r="F353" s="147"/>
      <c r="G353" s="147"/>
      <c r="H353" s="147"/>
      <c r="I353" s="147"/>
    </row>
    <row r="354" spans="1:9">
      <c r="A354" s="147"/>
      <c r="B354" s="147"/>
      <c r="C354" s="147"/>
      <c r="D354" s="147"/>
      <c r="E354" s="147"/>
      <c r="F354" s="147"/>
      <c r="G354" s="147"/>
      <c r="H354" s="147"/>
      <c r="I354" s="147"/>
    </row>
    <row r="355" spans="1:9">
      <c r="A355" s="147"/>
      <c r="B355" s="147"/>
      <c r="C355" s="147"/>
      <c r="D355" s="147"/>
      <c r="E355" s="147"/>
      <c r="F355" s="147"/>
      <c r="G355" s="147"/>
      <c r="H355" s="147"/>
      <c r="I355" s="147"/>
    </row>
    <row r="356" spans="1:9">
      <c r="A356" s="147"/>
      <c r="B356" s="147"/>
      <c r="C356" s="147"/>
      <c r="D356" s="147"/>
      <c r="E356" s="147"/>
      <c r="F356" s="147"/>
      <c r="G356" s="147"/>
      <c r="H356" s="147"/>
      <c r="I356" s="147"/>
    </row>
    <row r="357" spans="1:9">
      <c r="A357" s="147"/>
      <c r="B357" s="147"/>
      <c r="C357" s="147"/>
      <c r="D357" s="147"/>
      <c r="E357" s="147"/>
      <c r="F357" s="147"/>
      <c r="G357" s="147"/>
      <c r="H357" s="147"/>
      <c r="I357" s="147"/>
    </row>
    <row r="358" spans="1:9">
      <c r="A358" s="147"/>
      <c r="B358" s="147"/>
      <c r="C358" s="147"/>
      <c r="D358" s="147"/>
      <c r="E358" s="147"/>
      <c r="F358" s="147"/>
      <c r="G358" s="147"/>
      <c r="H358" s="147"/>
      <c r="I358" s="147"/>
    </row>
    <row r="359" spans="1:9">
      <c r="A359" s="147"/>
      <c r="B359" s="147"/>
      <c r="C359" s="147"/>
      <c r="D359" s="147"/>
      <c r="E359" s="147"/>
      <c r="F359" s="147"/>
      <c r="G359" s="147"/>
      <c r="H359" s="147"/>
      <c r="I359" s="147"/>
    </row>
    <row r="360" spans="1:9">
      <c r="A360" s="147"/>
      <c r="B360" s="147"/>
      <c r="C360" s="147"/>
      <c r="D360" s="147"/>
      <c r="E360" s="147"/>
      <c r="F360" s="147"/>
      <c r="G360" s="147"/>
      <c r="H360" s="147"/>
      <c r="I360" s="147"/>
    </row>
    <row r="361" spans="1:9">
      <c r="A361" s="147"/>
      <c r="B361" s="147"/>
      <c r="C361" s="147"/>
      <c r="D361" s="147"/>
      <c r="E361" s="147"/>
      <c r="F361" s="147"/>
      <c r="G361" s="147"/>
      <c r="H361" s="147"/>
      <c r="I361" s="147"/>
    </row>
    <row r="362" spans="1:9">
      <c r="A362" s="147"/>
      <c r="B362" s="147"/>
      <c r="C362" s="147"/>
      <c r="D362" s="147"/>
      <c r="E362" s="147"/>
      <c r="F362" s="147"/>
      <c r="G362" s="147"/>
      <c r="H362" s="147"/>
      <c r="I362" s="147"/>
    </row>
    <row r="363" spans="1:9">
      <c r="A363" s="147"/>
      <c r="B363" s="147"/>
      <c r="C363" s="147"/>
      <c r="D363" s="147"/>
      <c r="E363" s="147"/>
      <c r="F363" s="147"/>
      <c r="G363" s="147"/>
      <c r="H363" s="147"/>
      <c r="I363" s="147"/>
    </row>
    <row r="364" spans="1:9">
      <c r="A364" s="147"/>
      <c r="B364" s="147"/>
      <c r="C364" s="147"/>
      <c r="D364" s="147"/>
      <c r="E364" s="147"/>
      <c r="F364" s="147"/>
      <c r="G364" s="147"/>
      <c r="H364" s="147"/>
      <c r="I364" s="147"/>
    </row>
    <row r="365" spans="1:9">
      <c r="A365" s="147"/>
      <c r="B365" s="147"/>
      <c r="C365" s="147"/>
      <c r="D365" s="147"/>
      <c r="E365" s="147"/>
      <c r="F365" s="147"/>
      <c r="G365" s="147"/>
      <c r="H365" s="147"/>
      <c r="I365" s="147"/>
    </row>
    <row r="366" spans="1:9">
      <c r="A366" s="147"/>
      <c r="B366" s="147"/>
      <c r="C366" s="147"/>
      <c r="D366" s="147"/>
      <c r="E366" s="147"/>
      <c r="F366" s="147"/>
      <c r="G366" s="147"/>
      <c r="H366" s="147"/>
      <c r="I366" s="147"/>
    </row>
    <row r="367" spans="1:9">
      <c r="A367" s="147"/>
      <c r="B367" s="147"/>
      <c r="C367" s="147"/>
      <c r="D367" s="147"/>
      <c r="E367" s="147"/>
      <c r="F367" s="147"/>
      <c r="G367" s="147"/>
      <c r="H367" s="147"/>
      <c r="I367" s="147"/>
    </row>
    <row r="368" spans="1:9">
      <c r="A368" s="147"/>
      <c r="B368" s="147"/>
      <c r="C368" s="147"/>
      <c r="D368" s="147"/>
      <c r="E368" s="147"/>
      <c r="F368" s="147"/>
      <c r="G368" s="147"/>
      <c r="H368" s="147"/>
      <c r="I368" s="147"/>
    </row>
    <row r="369" spans="1:9">
      <c r="A369" s="147"/>
      <c r="B369" s="147"/>
      <c r="C369" s="147"/>
      <c r="D369" s="147"/>
      <c r="E369" s="147"/>
      <c r="F369" s="147"/>
      <c r="G369" s="147"/>
      <c r="H369" s="147"/>
      <c r="I369" s="147"/>
    </row>
    <row r="370" spans="1:9">
      <c r="A370" s="147"/>
      <c r="B370" s="147"/>
      <c r="C370" s="147"/>
      <c r="D370" s="147"/>
      <c r="E370" s="147"/>
      <c r="F370" s="147"/>
      <c r="G370" s="147"/>
      <c r="H370" s="147"/>
      <c r="I370" s="147"/>
    </row>
    <row r="371" spans="1:9">
      <c r="A371" s="147"/>
      <c r="B371" s="147"/>
      <c r="C371" s="147"/>
      <c r="D371" s="147"/>
      <c r="E371" s="147"/>
      <c r="F371" s="147"/>
      <c r="G371" s="147"/>
      <c r="H371" s="147"/>
      <c r="I371" s="147"/>
    </row>
    <row r="372" spans="1:9">
      <c r="A372" s="147"/>
      <c r="B372" s="147"/>
      <c r="C372" s="147"/>
      <c r="D372" s="147"/>
      <c r="E372" s="147"/>
      <c r="F372" s="147"/>
      <c r="G372" s="147"/>
      <c r="H372" s="147"/>
      <c r="I372" s="147"/>
    </row>
    <row r="373" spans="1:9">
      <c r="A373" s="147"/>
      <c r="B373" s="147"/>
      <c r="C373" s="147"/>
      <c r="D373" s="147"/>
      <c r="E373" s="147"/>
      <c r="F373" s="147"/>
      <c r="G373" s="147"/>
      <c r="H373" s="147"/>
      <c r="I373" s="147"/>
    </row>
    <row r="374" spans="1:9">
      <c r="A374" s="147"/>
      <c r="B374" s="147"/>
      <c r="C374" s="147"/>
      <c r="D374" s="147"/>
      <c r="E374" s="147"/>
      <c r="F374" s="147"/>
      <c r="G374" s="147"/>
      <c r="H374" s="147"/>
      <c r="I374" s="147"/>
    </row>
    <row r="375" spans="1:9">
      <c r="A375" s="147"/>
      <c r="B375" s="147"/>
      <c r="C375" s="147"/>
      <c r="D375" s="147"/>
      <c r="E375" s="147"/>
      <c r="F375" s="147"/>
      <c r="G375" s="147"/>
      <c r="H375" s="147"/>
      <c r="I375" s="147"/>
    </row>
    <row r="376" spans="1:9">
      <c r="A376" s="147"/>
      <c r="B376" s="147"/>
      <c r="C376" s="147"/>
      <c r="D376" s="147"/>
      <c r="E376" s="147"/>
      <c r="F376" s="147"/>
      <c r="G376" s="147"/>
      <c r="H376" s="147"/>
      <c r="I376" s="147"/>
    </row>
    <row r="377" spans="1:9">
      <c r="A377" s="147"/>
      <c r="B377" s="147"/>
      <c r="C377" s="147"/>
      <c r="D377" s="147"/>
      <c r="E377" s="147"/>
      <c r="F377" s="147"/>
      <c r="G377" s="147"/>
      <c r="H377" s="147"/>
      <c r="I377" s="147"/>
    </row>
    <row r="378" spans="1:9">
      <c r="A378" s="147"/>
      <c r="B378" s="147"/>
      <c r="C378" s="147"/>
      <c r="D378" s="147"/>
      <c r="E378" s="147"/>
      <c r="F378" s="147"/>
      <c r="G378" s="147"/>
      <c r="H378" s="147"/>
      <c r="I378" s="147"/>
    </row>
    <row r="379" spans="1:9">
      <c r="A379" s="147"/>
      <c r="B379" s="147"/>
      <c r="C379" s="147"/>
      <c r="D379" s="147"/>
      <c r="E379" s="147"/>
      <c r="F379" s="147"/>
      <c r="G379" s="147"/>
      <c r="H379" s="147"/>
      <c r="I379" s="147"/>
    </row>
    <row r="380" spans="1:9">
      <c r="A380" s="147"/>
      <c r="B380" s="147"/>
      <c r="C380" s="147"/>
      <c r="D380" s="147"/>
      <c r="E380" s="147"/>
      <c r="F380" s="147"/>
      <c r="G380" s="147"/>
      <c r="H380" s="147"/>
      <c r="I380" s="147"/>
    </row>
    <row r="381" spans="1:9">
      <c r="A381" s="147"/>
      <c r="B381" s="147"/>
      <c r="C381" s="147"/>
      <c r="D381" s="147"/>
      <c r="E381" s="147"/>
      <c r="F381" s="147"/>
      <c r="G381" s="147"/>
      <c r="H381" s="147"/>
      <c r="I381" s="147"/>
    </row>
    <row r="382" spans="1:9">
      <c r="A382" s="147"/>
      <c r="B382" s="147"/>
      <c r="C382" s="147"/>
      <c r="D382" s="147"/>
      <c r="E382" s="147"/>
      <c r="F382" s="147"/>
      <c r="G382" s="147"/>
      <c r="H382" s="147"/>
      <c r="I382" s="147"/>
    </row>
    <row r="383" spans="1:9">
      <c r="A383" s="147"/>
      <c r="B383" s="147"/>
      <c r="C383" s="147"/>
      <c r="D383" s="147"/>
      <c r="E383" s="147"/>
      <c r="F383" s="147"/>
      <c r="G383" s="147"/>
      <c r="H383" s="147"/>
      <c r="I383" s="147"/>
    </row>
    <row r="384" spans="1:9">
      <c r="A384" s="147"/>
      <c r="B384" s="147"/>
      <c r="C384" s="147"/>
      <c r="D384" s="147"/>
      <c r="E384" s="147"/>
      <c r="F384" s="147"/>
      <c r="G384" s="147"/>
      <c r="H384" s="147"/>
      <c r="I384" s="147"/>
    </row>
    <row r="385" spans="1:9">
      <c r="A385" s="147"/>
      <c r="B385" s="147"/>
      <c r="C385" s="147"/>
      <c r="D385" s="147"/>
      <c r="E385" s="147"/>
      <c r="F385" s="147"/>
      <c r="G385" s="147"/>
      <c r="H385" s="147"/>
      <c r="I385" s="147"/>
    </row>
    <row r="386" spans="1:9">
      <c r="A386" s="147"/>
      <c r="B386" s="147"/>
      <c r="C386" s="147"/>
      <c r="D386" s="147"/>
      <c r="E386" s="147"/>
      <c r="F386" s="147"/>
      <c r="G386" s="147"/>
      <c r="H386" s="147"/>
      <c r="I386" s="147"/>
    </row>
    <row r="387" spans="1:9">
      <c r="A387" s="147"/>
      <c r="B387" s="147"/>
      <c r="C387" s="147"/>
      <c r="D387" s="147"/>
      <c r="E387" s="147"/>
      <c r="F387" s="147"/>
      <c r="G387" s="147"/>
      <c r="H387" s="147"/>
      <c r="I387" s="147"/>
    </row>
    <row r="388" spans="1:9">
      <c r="A388" s="147"/>
      <c r="B388" s="147"/>
      <c r="C388" s="147"/>
      <c r="D388" s="147"/>
      <c r="E388" s="147"/>
      <c r="F388" s="147"/>
      <c r="G388" s="147"/>
      <c r="H388" s="147"/>
      <c r="I388" s="147"/>
    </row>
    <row r="389" spans="1:9">
      <c r="A389" s="147"/>
      <c r="B389" s="147"/>
      <c r="C389" s="147"/>
      <c r="D389" s="147"/>
      <c r="E389" s="147"/>
      <c r="F389" s="147"/>
      <c r="G389" s="147"/>
      <c r="H389" s="147"/>
      <c r="I389" s="147"/>
    </row>
    <row r="390" spans="1:9">
      <c r="A390" s="147"/>
      <c r="B390" s="147"/>
      <c r="C390" s="147"/>
      <c r="D390" s="147"/>
      <c r="E390" s="147"/>
      <c r="F390" s="147"/>
      <c r="G390" s="147"/>
      <c r="H390" s="147"/>
      <c r="I390" s="147"/>
    </row>
    <row r="391" spans="1:9">
      <c r="A391" s="147"/>
      <c r="B391" s="147"/>
      <c r="C391" s="147"/>
      <c r="D391" s="147"/>
      <c r="E391" s="147"/>
      <c r="F391" s="147"/>
      <c r="G391" s="147"/>
      <c r="H391" s="147"/>
      <c r="I391" s="147"/>
    </row>
    <row r="392" spans="1:9">
      <c r="A392" s="147"/>
      <c r="B392" s="147"/>
      <c r="C392" s="147"/>
      <c r="D392" s="147"/>
      <c r="E392" s="147"/>
      <c r="F392" s="147"/>
      <c r="G392" s="147"/>
      <c r="H392" s="147"/>
      <c r="I392" s="147"/>
    </row>
    <row r="393" spans="1:9">
      <c r="A393" s="147"/>
      <c r="B393" s="147"/>
      <c r="C393" s="147"/>
      <c r="D393" s="147"/>
      <c r="E393" s="147"/>
      <c r="F393" s="147"/>
      <c r="G393" s="147"/>
      <c r="H393" s="147"/>
      <c r="I393" s="147"/>
    </row>
    <row r="394" spans="1:9">
      <c r="A394" s="147"/>
      <c r="B394" s="147"/>
      <c r="C394" s="147"/>
      <c r="D394" s="147"/>
      <c r="E394" s="147"/>
      <c r="F394" s="147"/>
      <c r="G394" s="147"/>
      <c r="H394" s="147"/>
      <c r="I394" s="147"/>
    </row>
    <row r="395" spans="1:9">
      <c r="A395" s="147"/>
      <c r="B395" s="147"/>
      <c r="C395" s="147"/>
      <c r="D395" s="147"/>
      <c r="E395" s="147"/>
      <c r="F395" s="147"/>
      <c r="G395" s="147"/>
      <c r="H395" s="147"/>
      <c r="I395" s="147"/>
    </row>
    <row r="396" spans="1:9">
      <c r="A396" s="147"/>
      <c r="B396" s="147"/>
      <c r="C396" s="147"/>
      <c r="D396" s="147"/>
      <c r="E396" s="147"/>
      <c r="F396" s="147"/>
      <c r="G396" s="147"/>
      <c r="H396" s="147"/>
      <c r="I396" s="147"/>
    </row>
    <row r="397" spans="1:9">
      <c r="A397" s="147"/>
      <c r="B397" s="147"/>
      <c r="C397" s="147"/>
      <c r="D397" s="147"/>
      <c r="E397" s="147"/>
      <c r="F397" s="147"/>
      <c r="G397" s="147"/>
      <c r="H397" s="147"/>
      <c r="I397" s="147"/>
    </row>
    <row r="398" spans="1:9">
      <c r="A398" s="147"/>
      <c r="B398" s="147"/>
      <c r="C398" s="147"/>
      <c r="D398" s="147"/>
      <c r="E398" s="147"/>
      <c r="F398" s="147"/>
      <c r="G398" s="147"/>
      <c r="H398" s="147"/>
      <c r="I398" s="147"/>
    </row>
    <row r="399" spans="1:9">
      <c r="A399" s="147"/>
      <c r="B399" s="147"/>
      <c r="C399" s="147"/>
      <c r="D399" s="147"/>
      <c r="E399" s="147"/>
      <c r="F399" s="147"/>
      <c r="G399" s="147"/>
      <c r="H399" s="147"/>
      <c r="I399" s="147"/>
    </row>
    <row r="400" spans="1:9">
      <c r="A400" s="147"/>
      <c r="B400" s="147"/>
      <c r="C400" s="147"/>
      <c r="D400" s="147"/>
      <c r="E400" s="147"/>
      <c r="F400" s="147"/>
      <c r="G400" s="147"/>
      <c r="H400" s="147"/>
      <c r="I400" s="147"/>
    </row>
    <row r="401" spans="1:9">
      <c r="A401" s="147"/>
      <c r="B401" s="147"/>
      <c r="C401" s="147"/>
      <c r="D401" s="147"/>
      <c r="E401" s="147"/>
      <c r="F401" s="147"/>
      <c r="G401" s="147"/>
      <c r="H401" s="147"/>
      <c r="I401" s="147"/>
    </row>
    <row r="402" spans="1:9">
      <c r="A402" s="147"/>
      <c r="B402" s="147"/>
      <c r="C402" s="147"/>
      <c r="D402" s="147"/>
      <c r="E402" s="147"/>
      <c r="F402" s="147"/>
      <c r="G402" s="147"/>
      <c r="H402" s="147"/>
      <c r="I402" s="147"/>
    </row>
    <row r="403" spans="1:9">
      <c r="A403" s="147"/>
      <c r="B403" s="147"/>
      <c r="C403" s="147"/>
      <c r="D403" s="147"/>
      <c r="E403" s="147"/>
      <c r="F403" s="147"/>
      <c r="G403" s="147"/>
      <c r="H403" s="147"/>
      <c r="I403" s="147"/>
    </row>
    <row r="404" spans="1:9">
      <c r="A404" s="147"/>
      <c r="B404" s="147"/>
      <c r="C404" s="147"/>
      <c r="D404" s="147"/>
      <c r="E404" s="147"/>
      <c r="F404" s="147"/>
      <c r="G404" s="147"/>
      <c r="H404" s="147"/>
      <c r="I404" s="147"/>
    </row>
    <row r="405" spans="1:9">
      <c r="A405" s="147"/>
      <c r="B405" s="147"/>
      <c r="C405" s="147"/>
      <c r="D405" s="147"/>
      <c r="E405" s="147"/>
      <c r="F405" s="147"/>
      <c r="G405" s="147"/>
      <c r="H405" s="147"/>
      <c r="I405" s="147"/>
    </row>
    <row r="406" spans="1:9">
      <c r="A406" s="147"/>
      <c r="B406" s="147"/>
      <c r="C406" s="147"/>
      <c r="D406" s="147"/>
      <c r="E406" s="147"/>
      <c r="F406" s="147"/>
      <c r="G406" s="147"/>
      <c r="H406" s="147"/>
      <c r="I406" s="147"/>
    </row>
    <row r="407" spans="1:9">
      <c r="A407" s="147"/>
      <c r="B407" s="147"/>
      <c r="C407" s="147"/>
      <c r="D407" s="147"/>
      <c r="E407" s="147"/>
      <c r="F407" s="147"/>
      <c r="G407" s="147"/>
      <c r="H407" s="147"/>
      <c r="I407" s="147"/>
    </row>
    <row r="408" spans="1:9">
      <c r="A408" s="147"/>
      <c r="B408" s="147"/>
      <c r="C408" s="147"/>
      <c r="D408" s="147"/>
      <c r="E408" s="147"/>
      <c r="F408" s="147"/>
      <c r="G408" s="147"/>
      <c r="H408" s="147"/>
      <c r="I408" s="147"/>
    </row>
    <row r="409" spans="1:9">
      <c r="A409" s="147"/>
      <c r="B409" s="147"/>
      <c r="C409" s="147"/>
      <c r="D409" s="147"/>
      <c r="E409" s="147"/>
      <c r="F409" s="147"/>
      <c r="G409" s="147"/>
      <c r="H409" s="147"/>
      <c r="I409" s="147"/>
    </row>
    <row r="410" spans="1:9">
      <c r="A410" s="147"/>
      <c r="B410" s="147"/>
      <c r="C410" s="147"/>
      <c r="D410" s="147"/>
      <c r="E410" s="147"/>
      <c r="F410" s="147"/>
      <c r="G410" s="147"/>
      <c r="H410" s="147"/>
      <c r="I410" s="147"/>
    </row>
    <row r="411" spans="1:9">
      <c r="A411" s="147"/>
      <c r="B411" s="147"/>
      <c r="C411" s="147"/>
      <c r="D411" s="147"/>
      <c r="E411" s="147"/>
      <c r="F411" s="147"/>
      <c r="G411" s="147"/>
      <c r="H411" s="147"/>
      <c r="I411" s="147"/>
    </row>
    <row r="412" spans="1:9">
      <c r="A412" s="147"/>
      <c r="B412" s="147"/>
      <c r="C412" s="147"/>
      <c r="D412" s="147"/>
      <c r="E412" s="147"/>
      <c r="F412" s="147"/>
      <c r="G412" s="147"/>
      <c r="H412" s="147"/>
      <c r="I412" s="147"/>
    </row>
    <row r="413" spans="1:9">
      <c r="A413" s="147"/>
      <c r="B413" s="147"/>
      <c r="C413" s="147"/>
      <c r="D413" s="147"/>
      <c r="E413" s="147"/>
      <c r="F413" s="147"/>
      <c r="G413" s="147"/>
      <c r="H413" s="147"/>
      <c r="I413" s="147"/>
    </row>
    <row r="414" spans="1:9">
      <c r="A414" s="147"/>
      <c r="B414" s="147"/>
      <c r="C414" s="147"/>
      <c r="D414" s="147"/>
      <c r="E414" s="147"/>
      <c r="F414" s="147"/>
      <c r="G414" s="147"/>
      <c r="H414" s="147"/>
      <c r="I414" s="147"/>
    </row>
    <row r="415" spans="1:9">
      <c r="A415" s="147"/>
      <c r="B415" s="147"/>
      <c r="C415" s="147"/>
      <c r="D415" s="147"/>
      <c r="E415" s="147"/>
      <c r="F415" s="147"/>
      <c r="G415" s="147"/>
      <c r="H415" s="147"/>
      <c r="I415" s="147"/>
    </row>
    <row r="416" spans="1:9">
      <c r="A416" s="147"/>
      <c r="B416" s="147"/>
      <c r="C416" s="147"/>
      <c r="D416" s="147"/>
      <c r="E416" s="147"/>
      <c r="F416" s="147"/>
      <c r="G416" s="147"/>
      <c r="H416" s="147"/>
      <c r="I416" s="147"/>
    </row>
    <row r="417" spans="1:9">
      <c r="A417" s="147"/>
      <c r="B417" s="147"/>
      <c r="C417" s="147"/>
      <c r="D417" s="147"/>
      <c r="E417" s="147"/>
      <c r="F417" s="147"/>
      <c r="G417" s="147"/>
      <c r="H417" s="147"/>
      <c r="I417" s="147"/>
    </row>
    <row r="418" spans="1:9">
      <c r="A418" s="147"/>
      <c r="B418" s="147"/>
      <c r="C418" s="147"/>
      <c r="D418" s="147"/>
      <c r="E418" s="147"/>
      <c r="F418" s="147"/>
      <c r="G418" s="147"/>
      <c r="H418" s="147"/>
      <c r="I418" s="147"/>
    </row>
    <row r="419" spans="1:9">
      <c r="A419" s="147"/>
      <c r="B419" s="147"/>
      <c r="C419" s="147"/>
      <c r="D419" s="147"/>
      <c r="E419" s="147"/>
      <c r="F419" s="147"/>
      <c r="G419" s="147"/>
      <c r="H419" s="147"/>
      <c r="I419" s="147"/>
    </row>
    <row r="420" spans="1:9">
      <c r="A420" s="147"/>
      <c r="B420" s="147"/>
      <c r="C420" s="147"/>
      <c r="D420" s="147"/>
      <c r="E420" s="147"/>
      <c r="F420" s="147"/>
      <c r="G420" s="147"/>
      <c r="H420" s="147"/>
      <c r="I420" s="147"/>
    </row>
    <row r="421" spans="1:9">
      <c r="A421" s="147"/>
      <c r="B421" s="147"/>
      <c r="C421" s="147"/>
      <c r="D421" s="147"/>
      <c r="E421" s="147"/>
      <c r="F421" s="147"/>
      <c r="G421" s="147"/>
      <c r="H421" s="147"/>
      <c r="I421" s="147"/>
    </row>
    <row r="422" spans="1:9">
      <c r="A422" s="147"/>
      <c r="B422" s="147"/>
      <c r="C422" s="147"/>
      <c r="D422" s="147"/>
      <c r="E422" s="147"/>
      <c r="F422" s="147"/>
      <c r="G422" s="147"/>
      <c r="H422" s="147"/>
      <c r="I422" s="147"/>
    </row>
    <row r="423" spans="1:9">
      <c r="A423" s="147"/>
      <c r="B423" s="147"/>
      <c r="C423" s="147"/>
      <c r="D423" s="147"/>
      <c r="E423" s="147"/>
      <c r="F423" s="147"/>
      <c r="G423" s="147"/>
      <c r="H423" s="147"/>
      <c r="I423" s="147"/>
    </row>
    <row r="424" spans="1:9">
      <c r="A424" s="147"/>
      <c r="B424" s="147"/>
      <c r="C424" s="147"/>
      <c r="D424" s="147"/>
      <c r="E424" s="147"/>
      <c r="F424" s="147"/>
      <c r="G424" s="147"/>
      <c r="H424" s="147"/>
      <c r="I424" s="147"/>
    </row>
    <row r="425" spans="1:9">
      <c r="A425" s="147"/>
      <c r="B425" s="147"/>
      <c r="C425" s="147"/>
      <c r="D425" s="147"/>
      <c r="E425" s="147"/>
      <c r="F425" s="147"/>
      <c r="G425" s="147"/>
      <c r="H425" s="147"/>
      <c r="I425" s="147"/>
    </row>
    <row r="426" spans="1:9">
      <c r="A426" s="147"/>
      <c r="B426" s="147"/>
      <c r="C426" s="147"/>
      <c r="D426" s="147"/>
      <c r="E426" s="147"/>
      <c r="F426" s="147"/>
      <c r="G426" s="147"/>
      <c r="H426" s="147"/>
      <c r="I426" s="147"/>
    </row>
    <row r="427" spans="1:9">
      <c r="A427" s="147"/>
      <c r="B427" s="147"/>
      <c r="C427" s="147"/>
      <c r="D427" s="147"/>
      <c r="E427" s="147"/>
      <c r="F427" s="147"/>
      <c r="G427" s="147"/>
      <c r="H427" s="147"/>
      <c r="I427" s="147"/>
    </row>
    <row r="428" spans="1:9">
      <c r="A428" s="147"/>
      <c r="B428" s="147"/>
      <c r="C428" s="147"/>
      <c r="D428" s="147"/>
      <c r="E428" s="147"/>
      <c r="F428" s="147"/>
      <c r="G428" s="147"/>
      <c r="H428" s="147"/>
      <c r="I428" s="147"/>
    </row>
    <row r="429" spans="1:9">
      <c r="A429" s="147"/>
      <c r="B429" s="147"/>
      <c r="C429" s="147"/>
      <c r="D429" s="147"/>
      <c r="E429" s="147"/>
      <c r="F429" s="147"/>
      <c r="G429" s="147"/>
      <c r="H429" s="147"/>
      <c r="I429" s="147"/>
    </row>
    <row r="430" spans="1:9">
      <c r="A430" s="147"/>
      <c r="B430" s="147"/>
      <c r="C430" s="147"/>
      <c r="D430" s="147"/>
      <c r="E430" s="147"/>
      <c r="F430" s="147"/>
      <c r="G430" s="147"/>
      <c r="H430" s="147"/>
      <c r="I430" s="147"/>
    </row>
    <row r="431" spans="1:9">
      <c r="A431" s="147"/>
      <c r="B431" s="147"/>
      <c r="C431" s="147"/>
      <c r="D431" s="147"/>
      <c r="E431" s="147"/>
      <c r="F431" s="147"/>
      <c r="G431" s="147"/>
      <c r="H431" s="147"/>
      <c r="I431" s="147"/>
    </row>
    <row r="432" spans="1:9">
      <c r="A432" s="147"/>
      <c r="B432" s="147"/>
      <c r="C432" s="147"/>
      <c r="D432" s="147"/>
      <c r="E432" s="147"/>
      <c r="F432" s="147"/>
      <c r="G432" s="147"/>
      <c r="H432" s="147"/>
      <c r="I432" s="147"/>
    </row>
    <row r="433" spans="1:9">
      <c r="A433" s="147"/>
      <c r="B433" s="147"/>
      <c r="C433" s="147"/>
      <c r="D433" s="147"/>
      <c r="E433" s="147"/>
      <c r="F433" s="147"/>
      <c r="G433" s="147"/>
      <c r="H433" s="147"/>
      <c r="I433" s="147"/>
    </row>
    <row r="434" spans="1:9">
      <c r="A434" s="147"/>
      <c r="B434" s="147"/>
      <c r="C434" s="147"/>
      <c r="D434" s="147"/>
      <c r="E434" s="147"/>
      <c r="F434" s="147"/>
      <c r="G434" s="147"/>
      <c r="H434" s="147"/>
      <c r="I434" s="147"/>
    </row>
    <row r="435" spans="1:9">
      <c r="A435" s="147"/>
      <c r="B435" s="147"/>
      <c r="C435" s="147"/>
      <c r="D435" s="147"/>
      <c r="E435" s="147"/>
      <c r="F435" s="147"/>
      <c r="G435" s="147"/>
      <c r="H435" s="147"/>
      <c r="I435" s="147"/>
    </row>
    <row r="436" spans="1:9">
      <c r="A436" s="147"/>
      <c r="B436" s="147"/>
      <c r="C436" s="147"/>
      <c r="D436" s="147"/>
      <c r="E436" s="147"/>
      <c r="F436" s="147"/>
      <c r="G436" s="147"/>
      <c r="H436" s="147"/>
      <c r="I436" s="147"/>
    </row>
    <row r="437" spans="1:9">
      <c r="A437" s="147"/>
      <c r="B437" s="147"/>
      <c r="C437" s="147"/>
      <c r="D437" s="147"/>
      <c r="E437" s="147"/>
      <c r="F437" s="147"/>
      <c r="G437" s="147"/>
      <c r="H437" s="147"/>
      <c r="I437" s="147"/>
    </row>
    <row r="438" spans="1:9">
      <c r="A438" s="147"/>
      <c r="B438" s="147"/>
      <c r="C438" s="147"/>
      <c r="D438" s="147"/>
      <c r="E438" s="147"/>
      <c r="F438" s="147"/>
      <c r="G438" s="147"/>
      <c r="H438" s="147"/>
      <c r="I438" s="147"/>
    </row>
    <row r="439" spans="1:9">
      <c r="A439" s="147"/>
      <c r="B439" s="147"/>
      <c r="C439" s="147"/>
      <c r="D439" s="147"/>
      <c r="E439" s="147"/>
      <c r="F439" s="147"/>
      <c r="G439" s="147"/>
      <c r="H439" s="147"/>
      <c r="I439" s="147"/>
    </row>
    <row r="440" spans="1:9">
      <c r="A440" s="147"/>
      <c r="B440" s="147"/>
      <c r="C440" s="147"/>
      <c r="D440" s="147"/>
      <c r="E440" s="147"/>
      <c r="F440" s="147"/>
      <c r="G440" s="147"/>
      <c r="H440" s="147"/>
      <c r="I440" s="147"/>
    </row>
    <row r="441" spans="1:9">
      <c r="A441" s="147"/>
      <c r="B441" s="147"/>
      <c r="C441" s="147"/>
      <c r="D441" s="147"/>
      <c r="E441" s="147"/>
      <c r="F441" s="147"/>
      <c r="G441" s="147"/>
      <c r="H441" s="147"/>
      <c r="I441" s="147"/>
    </row>
    <row r="442" spans="1:9">
      <c r="A442" s="147"/>
      <c r="B442" s="147"/>
      <c r="C442" s="147"/>
      <c r="D442" s="147"/>
      <c r="E442" s="147"/>
      <c r="F442" s="147"/>
      <c r="G442" s="147"/>
      <c r="H442" s="147"/>
      <c r="I442" s="147"/>
    </row>
    <row r="443" spans="1:9">
      <c r="A443" s="147"/>
      <c r="B443" s="147"/>
      <c r="C443" s="147"/>
      <c r="D443" s="147"/>
      <c r="E443" s="147"/>
      <c r="F443" s="147"/>
      <c r="G443" s="147"/>
      <c r="H443" s="147"/>
      <c r="I443" s="147"/>
    </row>
    <row r="444" spans="1:9">
      <c r="A444" s="147"/>
      <c r="B444" s="147"/>
      <c r="C444" s="147"/>
      <c r="D444" s="147"/>
      <c r="E444" s="147"/>
      <c r="F444" s="147"/>
      <c r="G444" s="147"/>
      <c r="H444" s="147"/>
      <c r="I444" s="147"/>
    </row>
    <row r="445" spans="1:9">
      <c r="A445" s="147"/>
      <c r="B445" s="147"/>
      <c r="C445" s="147"/>
      <c r="D445" s="147"/>
      <c r="E445" s="147"/>
      <c r="F445" s="147"/>
      <c r="G445" s="147"/>
      <c r="H445" s="147"/>
      <c r="I445" s="147"/>
    </row>
    <row r="446" spans="1:9">
      <c r="A446" s="147"/>
      <c r="B446" s="147"/>
      <c r="C446" s="147"/>
      <c r="D446" s="147"/>
      <c r="E446" s="147"/>
      <c r="F446" s="147"/>
      <c r="G446" s="147"/>
      <c r="H446" s="147"/>
      <c r="I446" s="147"/>
    </row>
    <row r="447" spans="1:9">
      <c r="A447" s="147"/>
      <c r="B447" s="147"/>
      <c r="C447" s="147"/>
      <c r="D447" s="147"/>
      <c r="E447" s="147"/>
      <c r="F447" s="147"/>
      <c r="G447" s="147"/>
      <c r="H447" s="147"/>
      <c r="I447" s="147"/>
    </row>
    <row r="448" spans="1:9">
      <c r="A448" s="147"/>
      <c r="B448" s="147"/>
      <c r="C448" s="147"/>
      <c r="D448" s="147"/>
      <c r="E448" s="147"/>
      <c r="F448" s="147"/>
      <c r="G448" s="147"/>
      <c r="H448" s="147"/>
      <c r="I448" s="147"/>
    </row>
    <row r="449" spans="1:9">
      <c r="A449" s="147"/>
      <c r="B449" s="147"/>
      <c r="C449" s="147"/>
      <c r="D449" s="147"/>
      <c r="E449" s="147"/>
      <c r="F449" s="147"/>
      <c r="G449" s="147"/>
      <c r="H449" s="147"/>
      <c r="I449" s="147"/>
    </row>
    <row r="450" spans="1:9">
      <c r="A450" s="147"/>
      <c r="B450" s="147"/>
      <c r="C450" s="147"/>
      <c r="D450" s="147"/>
      <c r="E450" s="147"/>
      <c r="F450" s="147"/>
      <c r="G450" s="147"/>
      <c r="H450" s="147"/>
      <c r="I450" s="147"/>
    </row>
    <row r="451" spans="1:9">
      <c r="A451" s="147"/>
      <c r="B451" s="147"/>
      <c r="C451" s="147"/>
      <c r="D451" s="147"/>
      <c r="E451" s="147"/>
      <c r="F451" s="147"/>
      <c r="G451" s="147"/>
      <c r="H451" s="147"/>
      <c r="I451" s="147"/>
    </row>
    <row r="452" spans="1:9">
      <c r="A452" s="147"/>
      <c r="B452" s="147"/>
      <c r="C452" s="147"/>
      <c r="D452" s="147"/>
      <c r="E452" s="147"/>
      <c r="F452" s="147"/>
      <c r="G452" s="147"/>
      <c r="H452" s="147"/>
      <c r="I452" s="147"/>
    </row>
    <row r="453" spans="1:9">
      <c r="A453" s="147"/>
      <c r="B453" s="147"/>
      <c r="C453" s="147"/>
      <c r="D453" s="147"/>
      <c r="E453" s="147"/>
      <c r="F453" s="147"/>
      <c r="G453" s="147"/>
      <c r="H453" s="147"/>
      <c r="I453" s="147"/>
    </row>
    <row r="454" spans="1:9">
      <c r="A454" s="147"/>
      <c r="B454" s="147"/>
      <c r="C454" s="147"/>
      <c r="D454" s="147"/>
      <c r="E454" s="147"/>
      <c r="F454" s="147"/>
      <c r="G454" s="147"/>
      <c r="H454" s="147"/>
      <c r="I454" s="147"/>
    </row>
    <row r="455" spans="1:9">
      <c r="A455" s="147"/>
      <c r="B455" s="147"/>
      <c r="C455" s="147"/>
      <c r="D455" s="147"/>
      <c r="E455" s="147"/>
      <c r="F455" s="147"/>
      <c r="G455" s="147"/>
      <c r="H455" s="147"/>
      <c r="I455" s="147"/>
    </row>
    <row r="456" spans="1:9">
      <c r="A456" s="147"/>
      <c r="B456" s="147"/>
      <c r="C456" s="147"/>
      <c r="D456" s="147"/>
      <c r="E456" s="147"/>
      <c r="F456" s="147"/>
      <c r="G456" s="147"/>
      <c r="H456" s="147"/>
      <c r="I456" s="147"/>
    </row>
    <row r="457" spans="1:9">
      <c r="A457" s="147"/>
      <c r="B457" s="147"/>
      <c r="C457" s="147"/>
      <c r="D457" s="147"/>
      <c r="E457" s="147"/>
      <c r="F457" s="147"/>
      <c r="G457" s="147"/>
      <c r="H457" s="147"/>
      <c r="I457" s="147"/>
    </row>
    <row r="458" spans="1:9">
      <c r="A458" s="147"/>
      <c r="B458" s="147"/>
      <c r="C458" s="147"/>
      <c r="D458" s="147"/>
      <c r="E458" s="147"/>
      <c r="F458" s="147"/>
      <c r="G458" s="147"/>
      <c r="H458" s="147"/>
      <c r="I458" s="147"/>
    </row>
    <row r="459" spans="1:9">
      <c r="A459" s="147"/>
      <c r="B459" s="147"/>
      <c r="C459" s="147"/>
      <c r="D459" s="147"/>
      <c r="E459" s="147"/>
      <c r="F459" s="147"/>
      <c r="G459" s="147"/>
      <c r="H459" s="147"/>
      <c r="I459" s="147"/>
    </row>
    <row r="460" spans="1:9">
      <c r="A460" s="147"/>
      <c r="B460" s="147"/>
      <c r="C460" s="147"/>
      <c r="D460" s="147"/>
      <c r="E460" s="147"/>
      <c r="F460" s="147"/>
      <c r="G460" s="147"/>
      <c r="H460" s="147"/>
      <c r="I460" s="147"/>
    </row>
    <row r="461" spans="1:9">
      <c r="A461" s="147"/>
      <c r="B461" s="147"/>
      <c r="C461" s="147"/>
      <c r="D461" s="147"/>
      <c r="E461" s="147"/>
      <c r="F461" s="147"/>
      <c r="G461" s="147"/>
      <c r="H461" s="147"/>
      <c r="I461" s="147"/>
    </row>
    <row r="462" spans="1:9">
      <c r="A462" s="147"/>
      <c r="B462" s="147"/>
      <c r="C462" s="147"/>
      <c r="D462" s="147"/>
      <c r="E462" s="147"/>
      <c r="F462" s="147"/>
      <c r="G462" s="147"/>
      <c r="H462" s="147"/>
      <c r="I462" s="147"/>
    </row>
    <row r="463" spans="1:9">
      <c r="A463" s="147"/>
      <c r="B463" s="147"/>
      <c r="C463" s="147"/>
      <c r="D463" s="147"/>
      <c r="E463" s="147"/>
      <c r="F463" s="147"/>
      <c r="G463" s="147"/>
      <c r="H463" s="147"/>
      <c r="I463" s="147"/>
    </row>
    <row r="464" spans="1:9">
      <c r="A464" s="147"/>
      <c r="B464" s="147"/>
      <c r="C464" s="147"/>
      <c r="D464" s="147"/>
      <c r="E464" s="147"/>
      <c r="F464" s="147"/>
      <c r="G464" s="147"/>
      <c r="H464" s="147"/>
      <c r="I464" s="147"/>
    </row>
    <row r="465" spans="1:9">
      <c r="A465" s="147"/>
      <c r="B465" s="147"/>
      <c r="C465" s="147"/>
      <c r="D465" s="147"/>
      <c r="E465" s="147"/>
      <c r="F465" s="147"/>
      <c r="G465" s="147"/>
      <c r="H465" s="147"/>
      <c r="I465" s="147"/>
    </row>
    <row r="466" spans="1:9">
      <c r="A466" s="147"/>
      <c r="B466" s="147"/>
      <c r="C466" s="147"/>
      <c r="D466" s="147"/>
      <c r="E466" s="147"/>
      <c r="F466" s="147"/>
      <c r="G466" s="147"/>
      <c r="H466" s="147"/>
      <c r="I466" s="147"/>
    </row>
    <row r="467" spans="1:9">
      <c r="A467" s="147"/>
      <c r="B467" s="147"/>
      <c r="C467" s="147"/>
      <c r="D467" s="147"/>
      <c r="E467" s="147"/>
      <c r="F467" s="147"/>
      <c r="G467" s="147"/>
      <c r="H467" s="147"/>
      <c r="I467" s="147"/>
    </row>
    <row r="468" spans="1:9">
      <c r="A468" s="147"/>
      <c r="B468" s="147"/>
      <c r="C468" s="147"/>
      <c r="D468" s="147"/>
      <c r="E468" s="147"/>
      <c r="F468" s="147"/>
      <c r="G468" s="147"/>
      <c r="H468" s="147"/>
      <c r="I468" s="147"/>
    </row>
    <row r="469" spans="1:9">
      <c r="A469" s="147"/>
      <c r="B469" s="147"/>
      <c r="C469" s="147"/>
      <c r="D469" s="147"/>
      <c r="E469" s="147"/>
      <c r="F469" s="147"/>
      <c r="G469" s="147"/>
      <c r="H469" s="147"/>
      <c r="I469" s="147"/>
    </row>
    <row r="470" spans="1:9">
      <c r="A470" s="147"/>
      <c r="B470" s="147"/>
      <c r="C470" s="147"/>
      <c r="D470" s="147"/>
      <c r="E470" s="147"/>
      <c r="F470" s="147"/>
      <c r="G470" s="147"/>
      <c r="H470" s="147"/>
      <c r="I470" s="147"/>
    </row>
    <row r="471" spans="1:9">
      <c r="A471" s="147"/>
      <c r="B471" s="147"/>
      <c r="C471" s="147"/>
      <c r="D471" s="147"/>
      <c r="E471" s="147"/>
      <c r="F471" s="147"/>
      <c r="G471" s="147"/>
      <c r="H471" s="147"/>
      <c r="I471" s="147"/>
    </row>
    <row r="472" spans="1:9">
      <c r="A472" s="147"/>
      <c r="B472" s="147"/>
      <c r="C472" s="147"/>
      <c r="D472" s="147"/>
      <c r="E472" s="147"/>
      <c r="F472" s="147"/>
      <c r="G472" s="147"/>
      <c r="H472" s="147"/>
      <c r="I472" s="147"/>
    </row>
    <row r="473" spans="1:9">
      <c r="A473" s="147"/>
      <c r="B473" s="147"/>
      <c r="C473" s="147"/>
      <c r="D473" s="147"/>
      <c r="E473" s="147"/>
      <c r="F473" s="147"/>
      <c r="G473" s="147"/>
      <c r="H473" s="147"/>
      <c r="I473" s="147"/>
    </row>
    <row r="474" spans="1:9">
      <c r="A474" s="147"/>
      <c r="B474" s="147"/>
      <c r="C474" s="147"/>
      <c r="D474" s="147"/>
      <c r="E474" s="147"/>
      <c r="F474" s="147"/>
      <c r="G474" s="147"/>
      <c r="H474" s="147"/>
      <c r="I474" s="147"/>
    </row>
    <row r="475" spans="1:9">
      <c r="A475" s="147"/>
      <c r="B475" s="147"/>
      <c r="C475" s="147"/>
      <c r="D475" s="147"/>
      <c r="E475" s="147"/>
      <c r="F475" s="147"/>
      <c r="G475" s="147"/>
      <c r="H475" s="147"/>
      <c r="I475" s="147"/>
    </row>
    <row r="476" spans="1:9">
      <c r="A476" s="147"/>
      <c r="B476" s="147"/>
      <c r="C476" s="147"/>
      <c r="D476" s="147"/>
      <c r="E476" s="147"/>
      <c r="F476" s="147"/>
      <c r="G476" s="147"/>
      <c r="H476" s="147"/>
      <c r="I476" s="147"/>
    </row>
    <row r="477" spans="1:9">
      <c r="A477" s="147"/>
      <c r="B477" s="147"/>
      <c r="C477" s="147"/>
      <c r="D477" s="147"/>
      <c r="E477" s="147"/>
      <c r="F477" s="147"/>
      <c r="G477" s="147"/>
      <c r="H477" s="147"/>
      <c r="I477" s="147"/>
    </row>
    <row r="478" spans="1:9">
      <c r="A478" s="147"/>
      <c r="B478" s="147"/>
      <c r="C478" s="147"/>
      <c r="D478" s="147"/>
      <c r="E478" s="147"/>
      <c r="F478" s="147"/>
      <c r="G478" s="147"/>
      <c r="H478" s="147"/>
      <c r="I478" s="147"/>
    </row>
    <row r="479" spans="1:9">
      <c r="A479" s="147"/>
      <c r="B479" s="147"/>
      <c r="C479" s="147"/>
      <c r="D479" s="147"/>
      <c r="E479" s="147"/>
      <c r="F479" s="147"/>
      <c r="G479" s="147"/>
      <c r="H479" s="147"/>
      <c r="I479" s="147"/>
    </row>
    <row r="480" spans="1:9">
      <c r="A480" s="147"/>
      <c r="B480" s="147"/>
      <c r="C480" s="147"/>
      <c r="D480" s="147"/>
      <c r="E480" s="147"/>
      <c r="F480" s="147"/>
      <c r="G480" s="147"/>
      <c r="H480" s="147"/>
      <c r="I480" s="147"/>
    </row>
    <row r="481" spans="1:9">
      <c r="A481" s="147"/>
      <c r="B481" s="147"/>
      <c r="C481" s="147"/>
      <c r="D481" s="147"/>
      <c r="E481" s="147"/>
      <c r="F481" s="147"/>
      <c r="G481" s="147"/>
      <c r="H481" s="147"/>
      <c r="I481" s="147"/>
    </row>
    <row r="482" spans="1:9">
      <c r="A482" s="147"/>
      <c r="B482" s="147"/>
      <c r="C482" s="147"/>
      <c r="D482" s="147"/>
      <c r="E482" s="147"/>
      <c r="F482" s="147"/>
      <c r="G482" s="147"/>
      <c r="H482" s="147"/>
      <c r="I482" s="147"/>
    </row>
    <row r="483" spans="1:9">
      <c r="A483" s="147"/>
      <c r="B483" s="147"/>
      <c r="C483" s="147"/>
      <c r="D483" s="147"/>
      <c r="E483" s="147"/>
      <c r="F483" s="147"/>
      <c r="G483" s="147"/>
      <c r="H483" s="147"/>
      <c r="I483" s="147"/>
    </row>
  </sheetData>
  <mergeCells count="12">
    <mergeCell ref="A8:A9"/>
    <mergeCell ref="B8:C8"/>
    <mergeCell ref="E8:F8"/>
    <mergeCell ref="H8:I8"/>
    <mergeCell ref="A54:I54"/>
    <mergeCell ref="A55:I55"/>
    <mergeCell ref="B17:I17"/>
    <mergeCell ref="A49:I49"/>
    <mergeCell ref="A50:I50"/>
    <mergeCell ref="A51:I51"/>
    <mergeCell ref="A52:I52"/>
    <mergeCell ref="A53:I53"/>
  </mergeCells>
  <pageMargins left="0.7" right="0.7" top="0.75" bottom="0.75" header="0.3" footer="0.3"/>
  <pageSetup paperSize="9" orientation="portrait" horizontalDpi="200" verticalDpi="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2E65-A9B1-43B3-A5E8-252B8CB435E0}">
  <dimension ref="A1:O74"/>
  <sheetViews>
    <sheetView zoomScaleNormal="100" workbookViewId="0">
      <selection activeCell="A4" sqref="A4"/>
    </sheetView>
  </sheetViews>
  <sheetFormatPr defaultColWidth="8.7265625" defaultRowHeight="14.5"/>
  <cols>
    <col min="1" max="1" width="8.7265625" style="49" customWidth="1"/>
    <col min="2" max="2" width="15" style="205" customWidth="1"/>
    <col min="3" max="3" width="12.7265625" style="49" customWidth="1"/>
    <col min="4" max="4" width="0.81640625" style="49" customWidth="1"/>
    <col min="5" max="5" width="11" style="49" customWidth="1"/>
    <col min="6" max="6" width="14.7265625" style="215" customWidth="1"/>
    <col min="7" max="7" width="10.54296875" style="215" customWidth="1"/>
    <col min="8" max="8" width="5.453125" style="215" customWidth="1"/>
    <col min="9" max="14" width="9.1796875" style="49" hidden="1" customWidth="1"/>
    <col min="15" max="206" width="9.1796875" style="49" customWidth="1"/>
    <col min="207" max="210" width="8.7265625" style="49"/>
    <col min="211" max="211" width="8.7265625" style="49" customWidth="1"/>
    <col min="212" max="216" width="12.7265625" style="49" customWidth="1"/>
    <col min="217" max="217" width="5.453125" style="49" customWidth="1"/>
    <col min="218" max="462" width="9.1796875" style="49" customWidth="1"/>
    <col min="463" max="466" width="8.7265625" style="49"/>
    <col min="467" max="467" width="8.7265625" style="49" customWidth="1"/>
    <col min="468" max="472" width="12.7265625" style="49" customWidth="1"/>
    <col min="473" max="473" width="5.453125" style="49" customWidth="1"/>
    <col min="474" max="718" width="9.1796875" style="49" customWidth="1"/>
    <col min="719" max="722" width="8.7265625" style="49"/>
    <col min="723" max="723" width="8.7265625" style="49" customWidth="1"/>
    <col min="724" max="728" width="12.7265625" style="49" customWidth="1"/>
    <col min="729" max="729" width="5.453125" style="49" customWidth="1"/>
    <col min="730" max="974" width="9.1796875" style="49" customWidth="1"/>
    <col min="975" max="978" width="8.7265625" style="49"/>
    <col min="979" max="979" width="8.7265625" style="49" customWidth="1"/>
    <col min="980" max="984" width="12.7265625" style="49" customWidth="1"/>
    <col min="985" max="985" width="5.453125" style="49" customWidth="1"/>
    <col min="986" max="1230" width="9.1796875" style="49" customWidth="1"/>
    <col min="1231" max="1234" width="8.7265625" style="49"/>
    <col min="1235" max="1235" width="8.7265625" style="49" customWidth="1"/>
    <col min="1236" max="1240" width="12.7265625" style="49" customWidth="1"/>
    <col min="1241" max="1241" width="5.453125" style="49" customWidth="1"/>
    <col min="1242" max="1486" width="9.1796875" style="49" customWidth="1"/>
    <col min="1487" max="1490" width="8.7265625" style="49"/>
    <col min="1491" max="1491" width="8.7265625" style="49" customWidth="1"/>
    <col min="1492" max="1496" width="12.7265625" style="49" customWidth="1"/>
    <col min="1497" max="1497" width="5.453125" style="49" customWidth="1"/>
    <col min="1498" max="1742" width="9.1796875" style="49" customWidth="1"/>
    <col min="1743" max="1746" width="8.7265625" style="49"/>
    <col min="1747" max="1747" width="8.7265625" style="49" customWidth="1"/>
    <col min="1748" max="1752" width="12.7265625" style="49" customWidth="1"/>
    <col min="1753" max="1753" width="5.453125" style="49" customWidth="1"/>
    <col min="1754" max="1998" width="9.1796875" style="49" customWidth="1"/>
    <col min="1999" max="2002" width="8.7265625" style="49"/>
    <col min="2003" max="2003" width="8.7265625" style="49" customWidth="1"/>
    <col min="2004" max="2008" width="12.7265625" style="49" customWidth="1"/>
    <col min="2009" max="2009" width="5.453125" style="49" customWidth="1"/>
    <col min="2010" max="2254" width="9.1796875" style="49" customWidth="1"/>
    <col min="2255" max="2258" width="8.7265625" style="49"/>
    <col min="2259" max="2259" width="8.7265625" style="49" customWidth="1"/>
    <col min="2260" max="2264" width="12.7265625" style="49" customWidth="1"/>
    <col min="2265" max="2265" width="5.453125" style="49" customWidth="1"/>
    <col min="2266" max="2510" width="9.1796875" style="49" customWidth="1"/>
    <col min="2511" max="2514" width="8.7265625" style="49"/>
    <col min="2515" max="2515" width="8.7265625" style="49" customWidth="1"/>
    <col min="2516" max="2520" width="12.7265625" style="49" customWidth="1"/>
    <col min="2521" max="2521" width="5.453125" style="49" customWidth="1"/>
    <col min="2522" max="2766" width="9.1796875" style="49" customWidth="1"/>
    <col min="2767" max="2770" width="8.7265625" style="49"/>
    <col min="2771" max="2771" width="8.7265625" style="49" customWidth="1"/>
    <col min="2772" max="2776" width="12.7265625" style="49" customWidth="1"/>
    <col min="2777" max="2777" width="5.453125" style="49" customWidth="1"/>
    <col min="2778" max="3022" width="9.1796875" style="49" customWidth="1"/>
    <col min="3023" max="3026" width="8.7265625" style="49"/>
    <col min="3027" max="3027" width="8.7265625" style="49" customWidth="1"/>
    <col min="3028" max="3032" width="12.7265625" style="49" customWidth="1"/>
    <col min="3033" max="3033" width="5.453125" style="49" customWidth="1"/>
    <col min="3034" max="3278" width="9.1796875" style="49" customWidth="1"/>
    <col min="3279" max="3282" width="8.7265625" style="49"/>
    <col min="3283" max="3283" width="8.7265625" style="49" customWidth="1"/>
    <col min="3284" max="3288" width="12.7265625" style="49" customWidth="1"/>
    <col min="3289" max="3289" width="5.453125" style="49" customWidth="1"/>
    <col min="3290" max="3534" width="9.1796875" style="49" customWidth="1"/>
    <col min="3535" max="3538" width="8.7265625" style="49"/>
    <col min="3539" max="3539" width="8.7265625" style="49" customWidth="1"/>
    <col min="3540" max="3544" width="12.7265625" style="49" customWidth="1"/>
    <col min="3545" max="3545" width="5.453125" style="49" customWidth="1"/>
    <col min="3546" max="3790" width="9.1796875" style="49" customWidth="1"/>
    <col min="3791" max="3794" width="8.7265625" style="49"/>
    <col min="3795" max="3795" width="8.7265625" style="49" customWidth="1"/>
    <col min="3796" max="3800" width="12.7265625" style="49" customWidth="1"/>
    <col min="3801" max="3801" width="5.453125" style="49" customWidth="1"/>
    <col min="3802" max="4046" width="9.1796875" style="49" customWidth="1"/>
    <col min="4047" max="4050" width="8.7265625" style="49"/>
    <col min="4051" max="4051" width="8.7265625" style="49" customWidth="1"/>
    <col min="4052" max="4056" width="12.7265625" style="49" customWidth="1"/>
    <col min="4057" max="4057" width="5.453125" style="49" customWidth="1"/>
    <col min="4058" max="4302" width="9.1796875" style="49" customWidth="1"/>
    <col min="4303" max="4306" width="8.7265625" style="49"/>
    <col min="4307" max="4307" width="8.7265625" style="49" customWidth="1"/>
    <col min="4308" max="4312" width="12.7265625" style="49" customWidth="1"/>
    <col min="4313" max="4313" width="5.453125" style="49" customWidth="1"/>
    <col min="4314" max="4558" width="9.1796875" style="49" customWidth="1"/>
    <col min="4559" max="4562" width="8.7265625" style="49"/>
    <col min="4563" max="4563" width="8.7265625" style="49" customWidth="1"/>
    <col min="4564" max="4568" width="12.7265625" style="49" customWidth="1"/>
    <col min="4569" max="4569" width="5.453125" style="49" customWidth="1"/>
    <col min="4570" max="4814" width="9.1796875" style="49" customWidth="1"/>
    <col min="4815" max="4818" width="8.7265625" style="49"/>
    <col min="4819" max="4819" width="8.7265625" style="49" customWidth="1"/>
    <col min="4820" max="4824" width="12.7265625" style="49" customWidth="1"/>
    <col min="4825" max="4825" width="5.453125" style="49" customWidth="1"/>
    <col min="4826" max="5070" width="9.1796875" style="49" customWidth="1"/>
    <col min="5071" max="5074" width="8.7265625" style="49"/>
    <col min="5075" max="5075" width="8.7265625" style="49" customWidth="1"/>
    <col min="5076" max="5080" width="12.7265625" style="49" customWidth="1"/>
    <col min="5081" max="5081" width="5.453125" style="49" customWidth="1"/>
    <col min="5082" max="5326" width="9.1796875" style="49" customWidth="1"/>
    <col min="5327" max="5330" width="8.7265625" style="49"/>
    <col min="5331" max="5331" width="8.7265625" style="49" customWidth="1"/>
    <col min="5332" max="5336" width="12.7265625" style="49" customWidth="1"/>
    <col min="5337" max="5337" width="5.453125" style="49" customWidth="1"/>
    <col min="5338" max="5582" width="9.1796875" style="49" customWidth="1"/>
    <col min="5583" max="5586" width="8.7265625" style="49"/>
    <col min="5587" max="5587" width="8.7265625" style="49" customWidth="1"/>
    <col min="5588" max="5592" width="12.7265625" style="49" customWidth="1"/>
    <col min="5593" max="5593" width="5.453125" style="49" customWidth="1"/>
    <col min="5594" max="5838" width="9.1796875" style="49" customWidth="1"/>
    <col min="5839" max="5842" width="8.7265625" style="49"/>
    <col min="5843" max="5843" width="8.7265625" style="49" customWidth="1"/>
    <col min="5844" max="5848" width="12.7265625" style="49" customWidth="1"/>
    <col min="5849" max="5849" width="5.453125" style="49" customWidth="1"/>
    <col min="5850" max="6094" width="9.1796875" style="49" customWidth="1"/>
    <col min="6095" max="6098" width="8.7265625" style="49"/>
    <col min="6099" max="6099" width="8.7265625" style="49" customWidth="1"/>
    <col min="6100" max="6104" width="12.7265625" style="49" customWidth="1"/>
    <col min="6105" max="6105" width="5.453125" style="49" customWidth="1"/>
    <col min="6106" max="6350" width="9.1796875" style="49" customWidth="1"/>
    <col min="6351" max="6354" width="8.7265625" style="49"/>
    <col min="6355" max="6355" width="8.7265625" style="49" customWidth="1"/>
    <col min="6356" max="6360" width="12.7265625" style="49" customWidth="1"/>
    <col min="6361" max="6361" width="5.453125" style="49" customWidth="1"/>
    <col min="6362" max="6606" width="9.1796875" style="49" customWidth="1"/>
    <col min="6607" max="6610" width="8.7265625" style="49"/>
    <col min="6611" max="6611" width="8.7265625" style="49" customWidth="1"/>
    <col min="6612" max="6616" width="12.7265625" style="49" customWidth="1"/>
    <col min="6617" max="6617" width="5.453125" style="49" customWidth="1"/>
    <col min="6618" max="6862" width="9.1796875" style="49" customWidth="1"/>
    <col min="6863" max="6866" width="8.7265625" style="49"/>
    <col min="6867" max="6867" width="8.7265625" style="49" customWidth="1"/>
    <col min="6868" max="6872" width="12.7265625" style="49" customWidth="1"/>
    <col min="6873" max="6873" width="5.453125" style="49" customWidth="1"/>
    <col min="6874" max="7118" width="9.1796875" style="49" customWidth="1"/>
    <col min="7119" max="7122" width="8.7265625" style="49"/>
    <col min="7123" max="7123" width="8.7265625" style="49" customWidth="1"/>
    <col min="7124" max="7128" width="12.7265625" style="49" customWidth="1"/>
    <col min="7129" max="7129" width="5.453125" style="49" customWidth="1"/>
    <col min="7130" max="7374" width="9.1796875" style="49" customWidth="1"/>
    <col min="7375" max="7378" width="8.7265625" style="49"/>
    <col min="7379" max="7379" width="8.7265625" style="49" customWidth="1"/>
    <col min="7380" max="7384" width="12.7265625" style="49" customWidth="1"/>
    <col min="7385" max="7385" width="5.453125" style="49" customWidth="1"/>
    <col min="7386" max="7630" width="9.1796875" style="49" customWidth="1"/>
    <col min="7631" max="7634" width="8.7265625" style="49"/>
    <col min="7635" max="7635" width="8.7265625" style="49" customWidth="1"/>
    <col min="7636" max="7640" width="12.7265625" style="49" customWidth="1"/>
    <col min="7641" max="7641" width="5.453125" style="49" customWidth="1"/>
    <col min="7642" max="7886" width="9.1796875" style="49" customWidth="1"/>
    <col min="7887" max="7890" width="8.7265625" style="49"/>
    <col min="7891" max="7891" width="8.7265625" style="49" customWidth="1"/>
    <col min="7892" max="7896" width="12.7265625" style="49" customWidth="1"/>
    <col min="7897" max="7897" width="5.453125" style="49" customWidth="1"/>
    <col min="7898" max="8142" width="9.1796875" style="49" customWidth="1"/>
    <col min="8143" max="8146" width="8.7265625" style="49"/>
    <col min="8147" max="8147" width="8.7265625" style="49" customWidth="1"/>
    <col min="8148" max="8152" width="12.7265625" style="49" customWidth="1"/>
    <col min="8153" max="8153" width="5.453125" style="49" customWidth="1"/>
    <col min="8154" max="8398" width="9.1796875" style="49" customWidth="1"/>
    <col min="8399" max="8402" width="8.7265625" style="49"/>
    <col min="8403" max="8403" width="8.7265625" style="49" customWidth="1"/>
    <col min="8404" max="8408" width="12.7265625" style="49" customWidth="1"/>
    <col min="8409" max="8409" width="5.453125" style="49" customWidth="1"/>
    <col min="8410" max="8654" width="9.1796875" style="49" customWidth="1"/>
    <col min="8655" max="8658" width="8.7265625" style="49"/>
    <col min="8659" max="8659" width="8.7265625" style="49" customWidth="1"/>
    <col min="8660" max="8664" width="12.7265625" style="49" customWidth="1"/>
    <col min="8665" max="8665" width="5.453125" style="49" customWidth="1"/>
    <col min="8666" max="8910" width="9.1796875" style="49" customWidth="1"/>
    <col min="8911" max="8914" width="8.7265625" style="49"/>
    <col min="8915" max="8915" width="8.7265625" style="49" customWidth="1"/>
    <col min="8916" max="8920" width="12.7265625" style="49" customWidth="1"/>
    <col min="8921" max="8921" width="5.453125" style="49" customWidth="1"/>
    <col min="8922" max="9166" width="9.1796875" style="49" customWidth="1"/>
    <col min="9167" max="9170" width="8.7265625" style="49"/>
    <col min="9171" max="9171" width="8.7265625" style="49" customWidth="1"/>
    <col min="9172" max="9176" width="12.7265625" style="49" customWidth="1"/>
    <col min="9177" max="9177" width="5.453125" style="49" customWidth="1"/>
    <col min="9178" max="9422" width="9.1796875" style="49" customWidth="1"/>
    <col min="9423" max="9426" width="8.7265625" style="49"/>
    <col min="9427" max="9427" width="8.7265625" style="49" customWidth="1"/>
    <col min="9428" max="9432" width="12.7265625" style="49" customWidth="1"/>
    <col min="9433" max="9433" width="5.453125" style="49" customWidth="1"/>
    <col min="9434" max="9678" width="9.1796875" style="49" customWidth="1"/>
    <col min="9679" max="9682" width="8.7265625" style="49"/>
    <col min="9683" max="9683" width="8.7265625" style="49" customWidth="1"/>
    <col min="9684" max="9688" width="12.7265625" style="49" customWidth="1"/>
    <col min="9689" max="9689" width="5.453125" style="49" customWidth="1"/>
    <col min="9690" max="9934" width="9.1796875" style="49" customWidth="1"/>
    <col min="9935" max="9938" width="8.7265625" style="49"/>
    <col min="9939" max="9939" width="8.7265625" style="49" customWidth="1"/>
    <col min="9940" max="9944" width="12.7265625" style="49" customWidth="1"/>
    <col min="9945" max="9945" width="5.453125" style="49" customWidth="1"/>
    <col min="9946" max="10190" width="9.1796875" style="49" customWidth="1"/>
    <col min="10191" max="10194" width="8.7265625" style="49"/>
    <col min="10195" max="10195" width="8.7265625" style="49" customWidth="1"/>
    <col min="10196" max="10200" width="12.7265625" style="49" customWidth="1"/>
    <col min="10201" max="10201" width="5.453125" style="49" customWidth="1"/>
    <col min="10202" max="10446" width="9.1796875" style="49" customWidth="1"/>
    <col min="10447" max="10450" width="8.7265625" style="49"/>
    <col min="10451" max="10451" width="8.7265625" style="49" customWidth="1"/>
    <col min="10452" max="10456" width="12.7265625" style="49" customWidth="1"/>
    <col min="10457" max="10457" width="5.453125" style="49" customWidth="1"/>
    <col min="10458" max="10702" width="9.1796875" style="49" customWidth="1"/>
    <col min="10703" max="10706" width="8.7265625" style="49"/>
    <col min="10707" max="10707" width="8.7265625" style="49" customWidth="1"/>
    <col min="10708" max="10712" width="12.7265625" style="49" customWidth="1"/>
    <col min="10713" max="10713" width="5.453125" style="49" customWidth="1"/>
    <col min="10714" max="10958" width="9.1796875" style="49" customWidth="1"/>
    <col min="10959" max="10962" width="8.7265625" style="49"/>
    <col min="10963" max="10963" width="8.7265625" style="49" customWidth="1"/>
    <col min="10964" max="10968" width="12.7265625" style="49" customWidth="1"/>
    <col min="10969" max="10969" width="5.453125" style="49" customWidth="1"/>
    <col min="10970" max="11214" width="9.1796875" style="49" customWidth="1"/>
    <col min="11215" max="11218" width="8.7265625" style="49"/>
    <col min="11219" max="11219" width="8.7265625" style="49" customWidth="1"/>
    <col min="11220" max="11224" width="12.7265625" style="49" customWidth="1"/>
    <col min="11225" max="11225" width="5.453125" style="49" customWidth="1"/>
    <col min="11226" max="11470" width="9.1796875" style="49" customWidth="1"/>
    <col min="11471" max="11474" width="8.7265625" style="49"/>
    <col min="11475" max="11475" width="8.7265625" style="49" customWidth="1"/>
    <col min="11476" max="11480" width="12.7265625" style="49" customWidth="1"/>
    <col min="11481" max="11481" width="5.453125" style="49" customWidth="1"/>
    <col min="11482" max="11726" width="9.1796875" style="49" customWidth="1"/>
    <col min="11727" max="11730" width="8.7265625" style="49"/>
    <col min="11731" max="11731" width="8.7265625" style="49" customWidth="1"/>
    <col min="11732" max="11736" width="12.7265625" style="49" customWidth="1"/>
    <col min="11737" max="11737" width="5.453125" style="49" customWidth="1"/>
    <col min="11738" max="11982" width="9.1796875" style="49" customWidth="1"/>
    <col min="11983" max="11986" width="8.7265625" style="49"/>
    <col min="11987" max="11987" width="8.7265625" style="49" customWidth="1"/>
    <col min="11988" max="11992" width="12.7265625" style="49" customWidth="1"/>
    <col min="11993" max="11993" width="5.453125" style="49" customWidth="1"/>
    <col min="11994" max="12238" width="9.1796875" style="49" customWidth="1"/>
    <col min="12239" max="12242" width="8.7265625" style="49"/>
    <col min="12243" max="12243" width="8.7265625" style="49" customWidth="1"/>
    <col min="12244" max="12248" width="12.7265625" style="49" customWidth="1"/>
    <col min="12249" max="12249" width="5.453125" style="49" customWidth="1"/>
    <col min="12250" max="12494" width="9.1796875" style="49" customWidth="1"/>
    <col min="12495" max="12498" width="8.7265625" style="49"/>
    <col min="12499" max="12499" width="8.7265625" style="49" customWidth="1"/>
    <col min="12500" max="12504" width="12.7265625" style="49" customWidth="1"/>
    <col min="12505" max="12505" width="5.453125" style="49" customWidth="1"/>
    <col min="12506" max="12750" width="9.1796875" style="49" customWidth="1"/>
    <col min="12751" max="12754" width="8.7265625" style="49"/>
    <col min="12755" max="12755" width="8.7265625" style="49" customWidth="1"/>
    <col min="12756" max="12760" width="12.7265625" style="49" customWidth="1"/>
    <col min="12761" max="12761" width="5.453125" style="49" customWidth="1"/>
    <col min="12762" max="13006" width="9.1796875" style="49" customWidth="1"/>
    <col min="13007" max="13010" width="8.7265625" style="49"/>
    <col min="13011" max="13011" width="8.7265625" style="49" customWidth="1"/>
    <col min="13012" max="13016" width="12.7265625" style="49" customWidth="1"/>
    <col min="13017" max="13017" width="5.453125" style="49" customWidth="1"/>
    <col min="13018" max="13262" width="9.1796875" style="49" customWidth="1"/>
    <col min="13263" max="13266" width="8.7265625" style="49"/>
    <col min="13267" max="13267" width="8.7265625" style="49" customWidth="1"/>
    <col min="13268" max="13272" width="12.7265625" style="49" customWidth="1"/>
    <col min="13273" max="13273" width="5.453125" style="49" customWidth="1"/>
    <col min="13274" max="13518" width="9.1796875" style="49" customWidth="1"/>
    <col min="13519" max="13522" width="8.7265625" style="49"/>
    <col min="13523" max="13523" width="8.7265625" style="49" customWidth="1"/>
    <col min="13524" max="13528" width="12.7265625" style="49" customWidth="1"/>
    <col min="13529" max="13529" width="5.453125" style="49" customWidth="1"/>
    <col min="13530" max="13774" width="9.1796875" style="49" customWidth="1"/>
    <col min="13775" max="13778" width="8.7265625" style="49"/>
    <col min="13779" max="13779" width="8.7265625" style="49" customWidth="1"/>
    <col min="13780" max="13784" width="12.7265625" style="49" customWidth="1"/>
    <col min="13785" max="13785" width="5.453125" style="49" customWidth="1"/>
    <col min="13786" max="14030" width="9.1796875" style="49" customWidth="1"/>
    <col min="14031" max="14034" width="8.7265625" style="49"/>
    <col min="14035" max="14035" width="8.7265625" style="49" customWidth="1"/>
    <col min="14036" max="14040" width="12.7265625" style="49" customWidth="1"/>
    <col min="14041" max="14041" width="5.453125" style="49" customWidth="1"/>
    <col min="14042" max="14286" width="9.1796875" style="49" customWidth="1"/>
    <col min="14287" max="14290" width="8.7265625" style="49"/>
    <col min="14291" max="14291" width="8.7265625" style="49" customWidth="1"/>
    <col min="14292" max="14296" width="12.7265625" style="49" customWidth="1"/>
    <col min="14297" max="14297" width="5.453125" style="49" customWidth="1"/>
    <col min="14298" max="14542" width="9.1796875" style="49" customWidth="1"/>
    <col min="14543" max="14546" width="8.7265625" style="49"/>
    <col min="14547" max="14547" width="8.7265625" style="49" customWidth="1"/>
    <col min="14548" max="14552" width="12.7265625" style="49" customWidth="1"/>
    <col min="14553" max="14553" width="5.453125" style="49" customWidth="1"/>
    <col min="14554" max="14798" width="9.1796875" style="49" customWidth="1"/>
    <col min="14799" max="14802" width="8.7265625" style="49"/>
    <col min="14803" max="14803" width="8.7265625" style="49" customWidth="1"/>
    <col min="14804" max="14808" width="12.7265625" style="49" customWidth="1"/>
    <col min="14809" max="14809" width="5.453125" style="49" customWidth="1"/>
    <col min="14810" max="15054" width="9.1796875" style="49" customWidth="1"/>
    <col min="15055" max="15058" width="8.7265625" style="49"/>
    <col min="15059" max="15059" width="8.7265625" style="49" customWidth="1"/>
    <col min="15060" max="15064" width="12.7265625" style="49" customWidth="1"/>
    <col min="15065" max="15065" width="5.453125" style="49" customWidth="1"/>
    <col min="15066" max="15310" width="9.1796875" style="49" customWidth="1"/>
    <col min="15311" max="15314" width="8.7265625" style="49"/>
    <col min="15315" max="15315" width="8.7265625" style="49" customWidth="1"/>
    <col min="15316" max="15320" width="12.7265625" style="49" customWidth="1"/>
    <col min="15321" max="15321" width="5.453125" style="49" customWidth="1"/>
    <col min="15322" max="15566" width="9.1796875" style="49" customWidth="1"/>
    <col min="15567" max="15570" width="8.7265625" style="49"/>
    <col min="15571" max="15571" width="8.7265625" style="49" customWidth="1"/>
    <col min="15572" max="15576" width="12.7265625" style="49" customWidth="1"/>
    <col min="15577" max="15577" width="5.453125" style="49" customWidth="1"/>
    <col min="15578" max="15822" width="9.1796875" style="49" customWidth="1"/>
    <col min="15823" max="15826" width="8.7265625" style="49"/>
    <col min="15827" max="15827" width="8.7265625" style="49" customWidth="1"/>
    <col min="15828" max="15832" width="12.7265625" style="49" customWidth="1"/>
    <col min="15833" max="15833" width="5.453125" style="49" customWidth="1"/>
    <col min="15834" max="16078" width="9.1796875" style="49" customWidth="1"/>
    <col min="16079" max="16082" width="8.7265625" style="49"/>
    <col min="16083" max="16083" width="8.7265625" style="49" customWidth="1"/>
    <col min="16084" max="16088" width="12.7265625" style="49" customWidth="1"/>
    <col min="16089" max="16089" width="5.453125" style="49" customWidth="1"/>
    <col min="16090" max="16334" width="9.1796875" style="49" customWidth="1"/>
    <col min="16335" max="16384" width="8.7265625" style="49"/>
  </cols>
  <sheetData>
    <row r="1" spans="1:15" ht="12" customHeight="1"/>
    <row r="2" spans="1:15" ht="12" customHeight="1"/>
    <row r="3" spans="1:15" customFormat="1" ht="12" customHeight="1">
      <c r="A3" s="180"/>
    </row>
    <row r="4" spans="1:15" s="159" customFormat="1" ht="12" customHeight="1">
      <c r="A4" s="158" t="s">
        <v>16</v>
      </c>
    </row>
    <row r="5" spans="1:15" s="159" customFormat="1" ht="12" customHeight="1">
      <c r="A5" s="160" t="s">
        <v>260</v>
      </c>
    </row>
    <row r="6" spans="1:15" s="159" customFormat="1" ht="12" customHeight="1">
      <c r="A6" s="284" t="s">
        <v>3</v>
      </c>
    </row>
    <row r="7" spans="1:15" s="162" customFormat="1" ht="6" customHeight="1">
      <c r="A7" s="161"/>
      <c r="C7" s="163"/>
    </row>
    <row r="8" spans="1:15" ht="21.75" customHeight="1">
      <c r="A8" s="650" t="s">
        <v>52</v>
      </c>
      <c r="B8" s="600" t="s">
        <v>53</v>
      </c>
      <c r="C8" s="600"/>
      <c r="D8" s="573"/>
      <c r="E8" s="618" t="s">
        <v>54</v>
      </c>
      <c r="F8" s="618"/>
      <c r="G8" s="618"/>
      <c r="H8" s="477"/>
      <c r="I8" s="600" t="s">
        <v>53</v>
      </c>
      <c r="J8" s="600"/>
      <c r="K8" s="574"/>
      <c r="L8" s="618" t="s">
        <v>54</v>
      </c>
      <c r="M8" s="618"/>
      <c r="N8" s="618"/>
    </row>
    <row r="9" spans="1:15" s="215" customFormat="1" ht="28.5" customHeight="1">
      <c r="A9" s="651"/>
      <c r="B9" s="165" t="s">
        <v>261</v>
      </c>
      <c r="C9" s="165" t="s">
        <v>262</v>
      </c>
      <c r="D9" s="165"/>
      <c r="E9" s="165" t="s">
        <v>263</v>
      </c>
      <c r="F9" s="286" t="s">
        <v>264</v>
      </c>
      <c r="G9" s="165" t="s">
        <v>262</v>
      </c>
      <c r="H9" s="216"/>
      <c r="I9" s="165" t="s">
        <v>261</v>
      </c>
      <c r="J9" s="484" t="s">
        <v>262</v>
      </c>
      <c r="K9" s="165"/>
      <c r="L9" s="165" t="s">
        <v>263</v>
      </c>
      <c r="M9" s="165" t="s">
        <v>264</v>
      </c>
      <c r="N9" s="484" t="s">
        <v>262</v>
      </c>
    </row>
    <row r="10" spans="1:15" ht="13" customHeight="1">
      <c r="A10" s="162"/>
      <c r="B10" s="217"/>
      <c r="C10" s="162"/>
      <c r="D10" s="162"/>
      <c r="E10" s="162"/>
      <c r="F10" s="173"/>
      <c r="G10" s="173"/>
      <c r="H10" s="173"/>
    </row>
    <row r="11" spans="1:15" ht="13.5" customHeight="1">
      <c r="A11" s="162"/>
      <c r="B11" s="597" t="s">
        <v>265</v>
      </c>
      <c r="C11" s="597"/>
      <c r="D11" s="597"/>
      <c r="E11" s="597"/>
      <c r="F11" s="597"/>
      <c r="G11" s="597"/>
      <c r="H11" s="162"/>
    </row>
    <row r="12" spans="1:15" ht="3" customHeight="1">
      <c r="A12" s="166"/>
      <c r="B12" s="218"/>
      <c r="C12" s="166"/>
      <c r="D12" s="166"/>
      <c r="E12" s="166"/>
      <c r="F12" s="219"/>
      <c r="G12" s="219"/>
      <c r="H12" s="219"/>
    </row>
    <row r="13" spans="1:15" s="221" customFormat="1" ht="10" customHeight="1">
      <c r="A13" s="220">
        <v>2020</v>
      </c>
      <c r="B13" s="198">
        <v>42049</v>
      </c>
      <c r="C13" s="198">
        <v>9099</v>
      </c>
      <c r="D13" s="166"/>
      <c r="E13" s="198">
        <v>10163</v>
      </c>
      <c r="F13" s="198">
        <v>1118</v>
      </c>
      <c r="G13" s="198">
        <v>3184</v>
      </c>
      <c r="H13" s="49"/>
      <c r="I13" s="49"/>
      <c r="J13" s="49"/>
      <c r="K13" s="49"/>
      <c r="L13" s="49"/>
      <c r="M13" s="49"/>
      <c r="N13" s="49"/>
    </row>
    <row r="14" spans="1:15" ht="10" customHeight="1">
      <c r="A14" s="222">
        <v>2021</v>
      </c>
      <c r="B14" s="198">
        <v>48107</v>
      </c>
      <c r="C14" s="198">
        <v>6376</v>
      </c>
      <c r="D14" s="166"/>
      <c r="E14" s="198">
        <v>10797</v>
      </c>
      <c r="F14" s="198">
        <v>1311</v>
      </c>
      <c r="G14" s="198">
        <v>2437</v>
      </c>
      <c r="H14" s="49"/>
      <c r="O14" s="183"/>
    </row>
    <row r="15" spans="1:15" ht="10" customHeight="1">
      <c r="A15" s="222">
        <v>2022</v>
      </c>
      <c r="B15" s="198">
        <v>51554</v>
      </c>
      <c r="C15" s="198">
        <v>4378</v>
      </c>
      <c r="D15" s="166"/>
      <c r="E15" s="198">
        <v>9946</v>
      </c>
      <c r="F15" s="198">
        <v>1181</v>
      </c>
      <c r="G15" s="198">
        <v>1359</v>
      </c>
      <c r="H15" s="219"/>
      <c r="O15" s="183"/>
    </row>
    <row r="16" spans="1:15" ht="10" customHeight="1">
      <c r="A16" s="412">
        <v>2023</v>
      </c>
      <c r="B16" s="198">
        <v>50319</v>
      </c>
      <c r="C16" s="198">
        <v>4296</v>
      </c>
      <c r="D16" s="166"/>
      <c r="E16" s="198">
        <v>10069</v>
      </c>
      <c r="F16" s="198">
        <v>1200</v>
      </c>
      <c r="G16" s="198">
        <v>1162</v>
      </c>
      <c r="H16" s="219"/>
      <c r="I16" s="185">
        <f>(B16-B15)/B15*100</f>
        <v>-2.3955464173487995</v>
      </c>
      <c r="J16" s="185">
        <f t="shared" ref="J16:J17" si="0">(C16-C15)/C15*100</f>
        <v>-1.8730013704888075</v>
      </c>
      <c r="K16" s="185"/>
      <c r="L16" s="185">
        <f t="shared" ref="L16:N17" si="1">(E16-E15)/E15*100</f>
        <v>1.2366780615322743</v>
      </c>
      <c r="M16" s="185">
        <f>(F16-F15)/F15*100</f>
        <v>1.6088060965283657</v>
      </c>
      <c r="N16" s="185">
        <f t="shared" si="1"/>
        <v>-14.495952906548935</v>
      </c>
      <c r="O16" s="183"/>
    </row>
    <row r="17" spans="1:15" ht="10" customHeight="1">
      <c r="A17" s="412">
        <v>2024</v>
      </c>
      <c r="B17" s="198">
        <v>52492</v>
      </c>
      <c r="C17" s="198">
        <v>4594</v>
      </c>
      <c r="E17" s="198">
        <v>9714</v>
      </c>
      <c r="F17" s="198">
        <v>1480</v>
      </c>
      <c r="G17" s="198">
        <v>1040</v>
      </c>
      <c r="H17" s="219"/>
      <c r="I17" s="185">
        <f>(B17-B16)/B16*100</f>
        <v>4.3184482998469758</v>
      </c>
      <c r="J17" s="185">
        <f t="shared" si="0"/>
        <v>6.9366852886405956</v>
      </c>
      <c r="L17" s="185">
        <f t="shared" si="1"/>
        <v>-3.5256728572847353</v>
      </c>
      <c r="M17" s="185">
        <f>(F17-F16)/F16*100</f>
        <v>23.333333333333332</v>
      </c>
      <c r="N17" s="185">
        <f t="shared" si="1"/>
        <v>-10.499139414802066</v>
      </c>
      <c r="O17" s="183"/>
    </row>
    <row r="18" spans="1:15" ht="13" customHeight="1">
      <c r="A18" s="413"/>
      <c r="B18" s="198"/>
      <c r="C18" s="198"/>
      <c r="D18" s="166"/>
      <c r="E18" s="198"/>
      <c r="F18" s="198"/>
      <c r="G18" s="198"/>
      <c r="H18" s="219"/>
      <c r="O18" s="183"/>
    </row>
    <row r="19" spans="1:15" ht="13.5" customHeight="1">
      <c r="A19" s="162"/>
      <c r="B19" s="597" t="s">
        <v>266</v>
      </c>
      <c r="C19" s="597"/>
      <c r="D19" s="597"/>
      <c r="E19" s="597"/>
      <c r="F19" s="597"/>
      <c r="G19" s="597"/>
      <c r="H19" s="162"/>
    </row>
    <row r="20" spans="1:15" ht="3" customHeight="1">
      <c r="A20" s="166"/>
      <c r="B20" s="218"/>
      <c r="C20" s="166"/>
      <c r="D20" s="166"/>
      <c r="E20" s="166"/>
      <c r="F20" s="219"/>
      <c r="G20" s="206"/>
      <c r="H20" s="206"/>
    </row>
    <row r="21" spans="1:15" s="414" customFormat="1" ht="10" customHeight="1">
      <c r="A21" s="413">
        <v>2020</v>
      </c>
      <c r="B21" s="198">
        <v>57351</v>
      </c>
      <c r="C21" s="198">
        <v>6188</v>
      </c>
      <c r="D21" s="223"/>
      <c r="E21" s="198">
        <v>11811</v>
      </c>
      <c r="F21" s="198">
        <v>1410</v>
      </c>
      <c r="G21" s="198">
        <v>1386</v>
      </c>
      <c r="H21" s="49"/>
      <c r="I21" s="49"/>
      <c r="J21" s="49"/>
      <c r="K21" s="49"/>
    </row>
    <row r="22" spans="1:15" ht="10" customHeight="1">
      <c r="A22" s="412">
        <v>2021</v>
      </c>
      <c r="B22" s="198">
        <v>59949</v>
      </c>
      <c r="C22" s="198">
        <v>10270</v>
      </c>
      <c r="D22" s="223"/>
      <c r="E22" s="198">
        <v>9043</v>
      </c>
      <c r="F22" s="198">
        <v>881</v>
      </c>
      <c r="G22" s="198">
        <v>2243</v>
      </c>
      <c r="H22" s="49"/>
    </row>
    <row r="23" spans="1:15" ht="10" customHeight="1">
      <c r="A23" s="412">
        <v>2022</v>
      </c>
      <c r="B23" s="198">
        <v>70298</v>
      </c>
      <c r="C23" s="198">
        <v>8117</v>
      </c>
      <c r="D23" s="223">
        <v>11959</v>
      </c>
      <c r="E23" s="198">
        <v>11959</v>
      </c>
      <c r="F23" s="198">
        <v>1260</v>
      </c>
      <c r="G23" s="198">
        <v>2073</v>
      </c>
      <c r="H23" s="485"/>
    </row>
    <row r="24" spans="1:15" ht="10" customHeight="1">
      <c r="A24" s="412">
        <v>2023</v>
      </c>
      <c r="B24" s="198">
        <v>60918</v>
      </c>
      <c r="C24" s="198">
        <v>5500</v>
      </c>
      <c r="D24" s="198"/>
      <c r="E24" s="198">
        <v>11262</v>
      </c>
      <c r="F24" s="198">
        <v>822</v>
      </c>
      <c r="G24" s="198">
        <v>1980</v>
      </c>
      <c r="H24" s="485"/>
      <c r="I24" s="185">
        <f>(B24-B23)/B23*100</f>
        <v>-13.343196107997382</v>
      </c>
      <c r="J24" s="185">
        <f>(C24-C23)/C23*100</f>
        <v>-32.24097572994949</v>
      </c>
      <c r="K24" s="185"/>
      <c r="L24" s="185">
        <f t="shared" ref="L24:N25" si="2">(E24-E23)/E23*100</f>
        <v>-5.8282465089054272</v>
      </c>
      <c r="M24" s="185">
        <f t="shared" si="2"/>
        <v>-34.761904761904759</v>
      </c>
      <c r="N24" s="185">
        <f t="shared" si="2"/>
        <v>-4.4862518089725034</v>
      </c>
    </row>
    <row r="25" spans="1:15" ht="10" customHeight="1">
      <c r="A25" s="412">
        <v>2024</v>
      </c>
      <c r="B25" s="198">
        <v>66369</v>
      </c>
      <c r="C25" s="198">
        <v>4999</v>
      </c>
      <c r="E25" s="198">
        <v>12330</v>
      </c>
      <c r="F25" s="198">
        <v>1045</v>
      </c>
      <c r="G25" s="198">
        <v>1388</v>
      </c>
      <c r="H25" s="485"/>
      <c r="I25" s="185">
        <f>(B25-B24)/B24*100</f>
        <v>8.9480941593617658</v>
      </c>
      <c r="J25" s="185">
        <f>(C25-C24)/C24*100</f>
        <v>-9.1090909090909093</v>
      </c>
      <c r="K25" s="185"/>
      <c r="L25" s="185">
        <f t="shared" si="2"/>
        <v>9.4832179009057</v>
      </c>
      <c r="M25" s="185">
        <f t="shared" si="2"/>
        <v>27.128953771289538</v>
      </c>
      <c r="N25" s="185">
        <f t="shared" si="2"/>
        <v>-29.898989898989896</v>
      </c>
    </row>
    <row r="26" spans="1:15" ht="13" customHeight="1">
      <c r="A26" s="413"/>
      <c r="B26" s="198"/>
      <c r="C26" s="198"/>
      <c r="D26" s="223"/>
      <c r="E26" s="198"/>
      <c r="F26" s="198"/>
      <c r="G26" s="198"/>
      <c r="H26" s="485"/>
    </row>
    <row r="27" spans="1:15" ht="13.5" customHeight="1">
      <c r="A27" s="162"/>
      <c r="B27" s="597" t="s">
        <v>63</v>
      </c>
      <c r="C27" s="597"/>
      <c r="D27" s="597"/>
      <c r="E27" s="597"/>
      <c r="F27" s="597"/>
      <c r="G27" s="597"/>
      <c r="H27" s="162"/>
    </row>
    <row r="28" spans="1:15" ht="3" customHeight="1">
      <c r="A28" s="166"/>
      <c r="B28" s="166"/>
      <c r="C28" s="166"/>
      <c r="D28" s="166"/>
      <c r="E28" s="166"/>
      <c r="F28" s="166"/>
      <c r="G28" s="166"/>
      <c r="H28" s="49"/>
    </row>
    <row r="29" spans="1:15" s="414" customFormat="1" ht="10" customHeight="1">
      <c r="A29" s="413">
        <v>2020</v>
      </c>
      <c r="B29" s="198">
        <v>135451</v>
      </c>
      <c r="C29" s="198">
        <v>15126</v>
      </c>
      <c r="D29" s="198"/>
      <c r="E29" s="198">
        <v>22696</v>
      </c>
      <c r="F29" s="198">
        <v>1465</v>
      </c>
      <c r="G29" s="198">
        <v>3888</v>
      </c>
      <c r="H29" s="49"/>
      <c r="I29" s="49"/>
      <c r="J29" s="49"/>
      <c r="K29" s="49"/>
      <c r="L29" s="49"/>
      <c r="M29" s="49"/>
      <c r="N29" s="49"/>
    </row>
    <row r="30" spans="1:15" ht="10" customHeight="1">
      <c r="A30" s="413">
        <v>2021</v>
      </c>
      <c r="B30" s="198">
        <v>124196</v>
      </c>
      <c r="C30" s="198">
        <v>11376</v>
      </c>
      <c r="D30" s="198"/>
      <c r="E30" s="198">
        <v>21766</v>
      </c>
      <c r="F30" s="198">
        <v>1631</v>
      </c>
      <c r="G30" s="198">
        <v>4058</v>
      </c>
      <c r="H30" s="49"/>
    </row>
    <row r="31" spans="1:15" ht="10" customHeight="1">
      <c r="A31" s="412">
        <v>2022</v>
      </c>
      <c r="B31" s="198">
        <v>108292</v>
      </c>
      <c r="C31" s="198">
        <v>6747</v>
      </c>
      <c r="D31" s="198"/>
      <c r="E31" s="198">
        <v>17057</v>
      </c>
      <c r="F31" s="198">
        <v>1367</v>
      </c>
      <c r="G31" s="198">
        <v>3351</v>
      </c>
      <c r="H31" s="49"/>
    </row>
    <row r="32" spans="1:15" ht="10" customHeight="1">
      <c r="A32" s="412">
        <v>2023</v>
      </c>
      <c r="B32" s="198">
        <v>99292</v>
      </c>
      <c r="C32" s="198">
        <v>5354</v>
      </c>
      <c r="D32" s="198"/>
      <c r="E32" s="198">
        <v>13634</v>
      </c>
      <c r="F32" s="198">
        <v>1584</v>
      </c>
      <c r="G32" s="198">
        <v>2298</v>
      </c>
      <c r="H32" s="49"/>
      <c r="I32" s="185">
        <f>(B32-B31)/B31*100</f>
        <v>-8.3108632216599556</v>
      </c>
      <c r="J32" s="185">
        <f t="shared" ref="J32:N33" si="3">(C32-C31)/C31*100</f>
        <v>-20.646213131762263</v>
      </c>
      <c r="K32" s="185"/>
      <c r="L32" s="185">
        <f t="shared" si="3"/>
        <v>-20.068007269742626</v>
      </c>
      <c r="M32" s="185">
        <f t="shared" si="3"/>
        <v>15.874177029992683</v>
      </c>
      <c r="N32" s="185">
        <f t="shared" si="3"/>
        <v>-31.423455684870188</v>
      </c>
    </row>
    <row r="33" spans="1:15" ht="10" customHeight="1">
      <c r="A33" s="412">
        <v>2024</v>
      </c>
      <c r="B33" s="198">
        <v>86870</v>
      </c>
      <c r="C33" s="198">
        <v>4917</v>
      </c>
      <c r="E33" s="198">
        <v>11194</v>
      </c>
      <c r="F33" s="198">
        <v>2046</v>
      </c>
      <c r="G33" s="198">
        <v>2014</v>
      </c>
      <c r="H33" s="49"/>
      <c r="I33" s="185">
        <f>(B33-B32)/B32*100</f>
        <v>-12.510574870080168</v>
      </c>
      <c r="J33" s="185">
        <f t="shared" si="3"/>
        <v>-8.1621217781098245</v>
      </c>
      <c r="K33" s="185"/>
      <c r="L33" s="185">
        <f t="shared" si="3"/>
        <v>-17.896435382132903</v>
      </c>
      <c r="M33" s="185">
        <f t="shared" si="3"/>
        <v>29.166666666666668</v>
      </c>
      <c r="N33" s="185">
        <f t="shared" si="3"/>
        <v>-12.358572671888599</v>
      </c>
    </row>
    <row r="34" spans="1:15" ht="3" customHeight="1">
      <c r="A34" s="193"/>
      <c r="B34" s="193"/>
      <c r="C34" s="193"/>
      <c r="D34" s="193"/>
      <c r="E34" s="193"/>
      <c r="F34" s="193"/>
      <c r="G34" s="193"/>
      <c r="H34" s="166"/>
    </row>
    <row r="35" spans="1:15" ht="3" customHeight="1">
      <c r="A35" s="166"/>
      <c r="B35" s="218"/>
      <c r="C35" s="166"/>
      <c r="D35" s="166"/>
      <c r="E35" s="166"/>
      <c r="F35" s="219"/>
      <c r="G35" s="219"/>
      <c r="H35" s="219"/>
    </row>
    <row r="36" spans="1:15" ht="30" customHeight="1">
      <c r="A36" s="643" t="s">
        <v>267</v>
      </c>
      <c r="B36" s="643"/>
      <c r="C36" s="643"/>
      <c r="D36" s="643"/>
      <c r="E36" s="643"/>
      <c r="F36" s="643"/>
      <c r="G36" s="643"/>
      <c r="H36" s="217"/>
      <c r="O36" s="500"/>
    </row>
    <row r="37" spans="1:15" ht="66" customHeight="1">
      <c r="A37" s="648" t="s">
        <v>268</v>
      </c>
      <c r="B37" s="648"/>
      <c r="C37" s="648"/>
      <c r="D37" s="648"/>
      <c r="E37" s="648"/>
      <c r="F37" s="648"/>
      <c r="G37" s="648"/>
    </row>
    <row r="38" spans="1:15" ht="20.149999999999999" customHeight="1">
      <c r="A38" s="643" t="s">
        <v>269</v>
      </c>
      <c r="B38" s="643"/>
      <c r="C38" s="643"/>
      <c r="D38" s="643"/>
      <c r="E38" s="643"/>
      <c r="F38" s="643"/>
      <c r="G38" s="643"/>
      <c r="H38" s="217"/>
    </row>
    <row r="39" spans="1:15" s="549" customFormat="1" ht="30" customHeight="1">
      <c r="A39" s="631" t="s">
        <v>270</v>
      </c>
      <c r="B39" s="649"/>
      <c r="C39" s="649"/>
      <c r="D39" s="649"/>
      <c r="E39" s="649"/>
      <c r="F39" s="649"/>
      <c r="G39" s="649"/>
      <c r="H39" s="548"/>
    </row>
    <row r="40" spans="1:15" ht="15.75" customHeight="1">
      <c r="A40" s="645"/>
      <c r="B40" s="645"/>
      <c r="C40" s="645"/>
      <c r="D40" s="645"/>
      <c r="E40" s="645"/>
      <c r="F40" s="645"/>
      <c r="G40" s="645"/>
      <c r="H40" s="469"/>
    </row>
    <row r="41" spans="1:15" ht="36" customHeight="1">
      <c r="A41" s="646"/>
      <c r="B41" s="647"/>
      <c r="C41" s="647"/>
      <c r="D41" s="647"/>
      <c r="E41" s="647"/>
      <c r="F41" s="647"/>
      <c r="G41" s="647"/>
      <c r="H41" s="486"/>
    </row>
    <row r="42" spans="1:15" ht="15" customHeight="1">
      <c r="A42" s="49" t="s">
        <v>271</v>
      </c>
      <c r="B42" s="224"/>
      <c r="C42" s="224"/>
      <c r="D42" s="224"/>
      <c r="E42" s="224"/>
      <c r="F42" s="224"/>
      <c r="G42" s="224"/>
    </row>
    <row r="43" spans="1:15" ht="15" customHeight="1">
      <c r="A43" s="133"/>
      <c r="B43" s="224"/>
      <c r="C43" s="224"/>
      <c r="D43" s="224"/>
      <c r="E43" s="224"/>
      <c r="F43" s="224"/>
      <c r="G43" s="224"/>
    </row>
    <row r="44" spans="1:15">
      <c r="A44" s="170"/>
      <c r="B44" s="224"/>
      <c r="C44" s="224"/>
      <c r="D44" s="224"/>
      <c r="E44" s="224"/>
      <c r="F44" s="224"/>
      <c r="G44" s="224"/>
    </row>
    <row r="45" spans="1:15">
      <c r="A45" s="170"/>
      <c r="B45" s="224"/>
      <c r="C45" s="224"/>
      <c r="D45" s="224"/>
      <c r="E45" s="224"/>
      <c r="F45" s="224"/>
      <c r="G45" s="224"/>
    </row>
    <row r="46" spans="1:15">
      <c r="A46" s="170"/>
      <c r="B46" s="224"/>
      <c r="C46" s="224"/>
      <c r="D46" s="224"/>
      <c r="E46" s="224"/>
      <c r="F46" s="224"/>
      <c r="G46" s="224"/>
    </row>
    <row r="47" spans="1:15">
      <c r="A47" s="170"/>
      <c r="B47" s="224"/>
      <c r="C47" s="224"/>
      <c r="D47" s="224"/>
      <c r="E47" s="224"/>
      <c r="F47" s="224"/>
      <c r="G47" s="224"/>
    </row>
    <row r="48" spans="1:15">
      <c r="B48" s="224"/>
      <c r="C48" s="224"/>
      <c r="D48" s="224"/>
      <c r="E48" s="224"/>
      <c r="F48" s="224"/>
      <c r="G48" s="224"/>
      <c r="H48" s="49"/>
    </row>
    <row r="49" spans="1:8">
      <c r="A49" s="225"/>
      <c r="B49" s="224"/>
      <c r="C49" s="224"/>
      <c r="D49" s="224"/>
      <c r="E49" s="224"/>
      <c r="F49" s="224"/>
      <c r="G49" s="224"/>
      <c r="H49" s="49"/>
    </row>
    <row r="50" spans="1:8">
      <c r="A50" s="170"/>
      <c r="B50" s="224"/>
      <c r="C50" s="224"/>
      <c r="D50" s="224"/>
      <c r="E50" s="224"/>
      <c r="F50" s="224"/>
      <c r="G50" s="224"/>
      <c r="H50" s="49"/>
    </row>
    <row r="51" spans="1:8">
      <c r="A51" s="170"/>
      <c r="B51" s="183"/>
      <c r="C51" s="183"/>
      <c r="D51" s="183"/>
      <c r="E51" s="183"/>
      <c r="F51" s="183"/>
      <c r="G51" s="183"/>
      <c r="H51" s="49"/>
    </row>
    <row r="52" spans="1:8">
      <c r="A52" s="170"/>
      <c r="B52" s="183"/>
      <c r="C52" s="183"/>
      <c r="D52" s="183"/>
      <c r="E52" s="183"/>
      <c r="F52" s="183"/>
      <c r="G52" s="183"/>
      <c r="H52" s="49"/>
    </row>
    <row r="53" spans="1:8">
      <c r="A53" s="170"/>
      <c r="B53" s="183"/>
      <c r="C53" s="183"/>
      <c r="D53" s="183"/>
      <c r="E53" s="183"/>
      <c r="F53" s="183"/>
      <c r="G53" s="183"/>
      <c r="H53" s="49"/>
    </row>
    <row r="54" spans="1:8">
      <c r="B54" s="49"/>
      <c r="F54" s="49"/>
      <c r="G54" s="49"/>
      <c r="H54" s="49"/>
    </row>
    <row r="55" spans="1:8">
      <c r="B55" s="49"/>
      <c r="F55" s="49"/>
      <c r="G55" s="49"/>
      <c r="H55" s="49"/>
    </row>
    <row r="56" spans="1:8">
      <c r="A56" s="162"/>
      <c r="B56" s="49"/>
      <c r="F56" s="49"/>
      <c r="G56" s="49"/>
      <c r="H56" s="49"/>
    </row>
    <row r="57" spans="1:8">
      <c r="A57" s="162"/>
      <c r="B57" s="49"/>
      <c r="F57" s="49"/>
      <c r="G57" s="49"/>
      <c r="H57" s="49"/>
    </row>
    <row r="58" spans="1:8">
      <c r="B58" s="49"/>
      <c r="F58" s="49"/>
      <c r="G58" s="49"/>
      <c r="H58" s="49"/>
    </row>
    <row r="59" spans="1:8">
      <c r="B59" s="49"/>
      <c r="F59" s="49"/>
      <c r="G59" s="49"/>
      <c r="H59" s="49"/>
    </row>
    <row r="60" spans="1:8">
      <c r="B60" s="49"/>
      <c r="F60" s="49"/>
      <c r="G60" s="49"/>
      <c r="H60" s="49"/>
    </row>
    <row r="61" spans="1:8">
      <c r="B61" s="49"/>
      <c r="F61" s="49"/>
      <c r="G61" s="49"/>
      <c r="H61" s="49"/>
    </row>
    <row r="62" spans="1:8">
      <c r="B62" s="49"/>
      <c r="F62" s="49"/>
      <c r="G62" s="49"/>
      <c r="H62" s="49"/>
    </row>
    <row r="63" spans="1:8">
      <c r="B63" s="49"/>
      <c r="F63" s="49"/>
      <c r="G63" s="49"/>
      <c r="H63" s="49"/>
    </row>
    <row r="64" spans="1:8">
      <c r="B64" s="49"/>
      <c r="F64" s="49"/>
      <c r="G64" s="49"/>
      <c r="H64" s="49"/>
    </row>
    <row r="65" s="49" customFormat="1"/>
    <row r="66" s="49" customFormat="1"/>
    <row r="67" s="49" customFormat="1"/>
    <row r="68" s="49" customFormat="1"/>
    <row r="69" s="49" customFormat="1"/>
    <row r="70" s="49" customFormat="1"/>
    <row r="71" s="49" customFormat="1"/>
    <row r="72" s="49" customFormat="1"/>
    <row r="73" s="49" customFormat="1"/>
    <row r="74" s="49" customFormat="1"/>
  </sheetData>
  <mergeCells count="14">
    <mergeCell ref="L8:N8"/>
    <mergeCell ref="A40:G40"/>
    <mergeCell ref="A41:G41"/>
    <mergeCell ref="B19:G19"/>
    <mergeCell ref="B27:G27"/>
    <mergeCell ref="A36:G36"/>
    <mergeCell ref="A37:G37"/>
    <mergeCell ref="A38:G38"/>
    <mergeCell ref="A39:G39"/>
    <mergeCell ref="B11:G11"/>
    <mergeCell ref="A8:A9"/>
    <mergeCell ref="B8:C8"/>
    <mergeCell ref="E8:G8"/>
    <mergeCell ref="I8:J8"/>
  </mergeCells>
  <pageMargins left="0.7" right="0.7" top="0.75" bottom="0.75" header="0.3" footer="0.3"/>
  <pageSetup paperSize="9" orientation="portrait" horizontalDpi="200" verticalDpi="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0"/>
  <sheetViews>
    <sheetView workbookViewId="0">
      <selection activeCell="A4" sqref="A4"/>
    </sheetView>
  </sheetViews>
  <sheetFormatPr defaultColWidth="8.81640625" defaultRowHeight="8"/>
  <cols>
    <col min="1" max="1" width="13.7265625" style="80" customWidth="1"/>
    <col min="2" max="2" width="8.81640625" style="80"/>
    <col min="3" max="3" width="11" style="80" customWidth="1"/>
    <col min="4" max="105" width="8.81640625" style="80"/>
    <col min="106" max="106" width="12.26953125" style="80" customWidth="1"/>
    <col min="107" max="107" width="9" style="80" bestFit="1" customWidth="1"/>
    <col min="108" max="110" width="5.81640625" style="80" customWidth="1"/>
    <col min="111" max="111" width="6.1796875" style="80" customWidth="1"/>
    <col min="112" max="113" width="5.81640625" style="80" customWidth="1"/>
    <col min="114" max="114" width="6.453125" style="80" customWidth="1"/>
    <col min="115" max="115" width="9" style="80" bestFit="1" customWidth="1"/>
    <col min="116" max="116" width="6.453125" style="80" customWidth="1"/>
    <col min="117" max="117" width="6.7265625" style="80" customWidth="1"/>
    <col min="118" max="118" width="8" style="80" customWidth="1"/>
    <col min="119" max="119" width="6.81640625" style="80" bestFit="1" customWidth="1"/>
    <col min="120" max="120" width="4.81640625" style="80" bestFit="1" customWidth="1"/>
    <col min="121" max="122" width="6.26953125" style="80" bestFit="1" customWidth="1"/>
    <col min="123" max="124" width="6" style="80" bestFit="1" customWidth="1"/>
    <col min="125" max="125" width="4.7265625" style="80" bestFit="1" customWidth="1"/>
    <col min="126" max="129" width="5" style="80" bestFit="1" customWidth="1"/>
    <col min="130" max="130" width="4.7265625" style="80" bestFit="1" customWidth="1"/>
    <col min="131" max="361" width="8.81640625" style="80"/>
    <col min="362" max="362" width="12.26953125" style="80" customWidth="1"/>
    <col min="363" max="363" width="9" style="80" bestFit="1" customWidth="1"/>
    <col min="364" max="366" width="5.81640625" style="80" customWidth="1"/>
    <col min="367" max="367" width="6.1796875" style="80" customWidth="1"/>
    <col min="368" max="369" width="5.81640625" style="80" customWidth="1"/>
    <col min="370" max="370" width="6.453125" style="80" customWidth="1"/>
    <col min="371" max="371" width="9" style="80" bestFit="1" customWidth="1"/>
    <col min="372" max="372" width="6.453125" style="80" customWidth="1"/>
    <col min="373" max="373" width="6.7265625" style="80" customWidth="1"/>
    <col min="374" max="374" width="8" style="80" customWidth="1"/>
    <col min="375" max="375" width="6.81640625" style="80" bestFit="1" customWidth="1"/>
    <col min="376" max="376" width="4.81640625" style="80" bestFit="1" customWidth="1"/>
    <col min="377" max="378" width="6.26953125" style="80" bestFit="1" customWidth="1"/>
    <col min="379" max="380" width="6" style="80" bestFit="1" customWidth="1"/>
    <col min="381" max="381" width="4.7265625" style="80" bestFit="1" customWidth="1"/>
    <col min="382" max="385" width="5" style="80" bestFit="1" customWidth="1"/>
    <col min="386" max="386" width="4.7265625" style="80" bestFit="1" customWidth="1"/>
    <col min="387" max="617" width="8.81640625" style="80"/>
    <col min="618" max="618" width="12.26953125" style="80" customWidth="1"/>
    <col min="619" max="619" width="9" style="80" bestFit="1" customWidth="1"/>
    <col min="620" max="622" width="5.81640625" style="80" customWidth="1"/>
    <col min="623" max="623" width="6.1796875" style="80" customWidth="1"/>
    <col min="624" max="625" width="5.81640625" style="80" customWidth="1"/>
    <col min="626" max="626" width="6.453125" style="80" customWidth="1"/>
    <col min="627" max="627" width="9" style="80" bestFit="1" customWidth="1"/>
    <col min="628" max="628" width="6.453125" style="80" customWidth="1"/>
    <col min="629" max="629" width="6.7265625" style="80" customWidth="1"/>
    <col min="630" max="630" width="8" style="80" customWidth="1"/>
    <col min="631" max="631" width="6.81640625" style="80" bestFit="1" customWidth="1"/>
    <col min="632" max="632" width="4.81640625" style="80" bestFit="1" customWidth="1"/>
    <col min="633" max="634" width="6.26953125" style="80" bestFit="1" customWidth="1"/>
    <col min="635" max="636" width="6" style="80" bestFit="1" customWidth="1"/>
    <col min="637" max="637" width="4.7265625" style="80" bestFit="1" customWidth="1"/>
    <col min="638" max="641" width="5" style="80" bestFit="1" customWidth="1"/>
    <col min="642" max="642" width="4.7265625" style="80" bestFit="1" customWidth="1"/>
    <col min="643" max="873" width="8.81640625" style="80"/>
    <col min="874" max="874" width="12.26953125" style="80" customWidth="1"/>
    <col min="875" max="875" width="9" style="80" bestFit="1" customWidth="1"/>
    <col min="876" max="878" width="5.81640625" style="80" customWidth="1"/>
    <col min="879" max="879" width="6.1796875" style="80" customWidth="1"/>
    <col min="880" max="881" width="5.81640625" style="80" customWidth="1"/>
    <col min="882" max="882" width="6.453125" style="80" customWidth="1"/>
    <col min="883" max="883" width="9" style="80" bestFit="1" customWidth="1"/>
    <col min="884" max="884" width="6.453125" style="80" customWidth="1"/>
    <col min="885" max="885" width="6.7265625" style="80" customWidth="1"/>
    <col min="886" max="886" width="8" style="80" customWidth="1"/>
    <col min="887" max="887" width="6.81640625" style="80" bestFit="1" customWidth="1"/>
    <col min="888" max="888" width="4.81640625" style="80" bestFit="1" customWidth="1"/>
    <col min="889" max="890" width="6.26953125" style="80" bestFit="1" customWidth="1"/>
    <col min="891" max="892" width="6" style="80" bestFit="1" customWidth="1"/>
    <col min="893" max="893" width="4.7265625" style="80" bestFit="1" customWidth="1"/>
    <col min="894" max="897" width="5" style="80" bestFit="1" customWidth="1"/>
    <col min="898" max="898" width="4.7265625" style="80" bestFit="1" customWidth="1"/>
    <col min="899" max="1129" width="8.81640625" style="80"/>
    <col min="1130" max="1130" width="12.26953125" style="80" customWidth="1"/>
    <col min="1131" max="1131" width="9" style="80" bestFit="1" customWidth="1"/>
    <col min="1132" max="1134" width="5.81640625" style="80" customWidth="1"/>
    <col min="1135" max="1135" width="6.1796875" style="80" customWidth="1"/>
    <col min="1136" max="1137" width="5.81640625" style="80" customWidth="1"/>
    <col min="1138" max="1138" width="6.453125" style="80" customWidth="1"/>
    <col min="1139" max="1139" width="9" style="80" bestFit="1" customWidth="1"/>
    <col min="1140" max="1140" width="6.453125" style="80" customWidth="1"/>
    <col min="1141" max="1141" width="6.7265625" style="80" customWidth="1"/>
    <col min="1142" max="1142" width="8" style="80" customWidth="1"/>
    <col min="1143" max="1143" width="6.81640625" style="80" bestFit="1" customWidth="1"/>
    <col min="1144" max="1144" width="4.81640625" style="80" bestFit="1" customWidth="1"/>
    <col min="1145" max="1146" width="6.26953125" style="80" bestFit="1" customWidth="1"/>
    <col min="1147" max="1148" width="6" style="80" bestFit="1" customWidth="1"/>
    <col min="1149" max="1149" width="4.7265625" style="80" bestFit="1" customWidth="1"/>
    <col min="1150" max="1153" width="5" style="80" bestFit="1" customWidth="1"/>
    <col min="1154" max="1154" width="4.7265625" style="80" bestFit="1" customWidth="1"/>
    <col min="1155" max="1385" width="8.81640625" style="80"/>
    <col min="1386" max="1386" width="12.26953125" style="80" customWidth="1"/>
    <col min="1387" max="1387" width="9" style="80" bestFit="1" customWidth="1"/>
    <col min="1388" max="1390" width="5.81640625" style="80" customWidth="1"/>
    <col min="1391" max="1391" width="6.1796875" style="80" customWidth="1"/>
    <col min="1392" max="1393" width="5.81640625" style="80" customWidth="1"/>
    <col min="1394" max="1394" width="6.453125" style="80" customWidth="1"/>
    <col min="1395" max="1395" width="9" style="80" bestFit="1" customWidth="1"/>
    <col min="1396" max="1396" width="6.453125" style="80" customWidth="1"/>
    <col min="1397" max="1397" width="6.7265625" style="80" customWidth="1"/>
    <col min="1398" max="1398" width="8" style="80" customWidth="1"/>
    <col min="1399" max="1399" width="6.81640625" style="80" bestFit="1" customWidth="1"/>
    <col min="1400" max="1400" width="4.81640625" style="80" bestFit="1" customWidth="1"/>
    <col min="1401" max="1402" width="6.26953125" style="80" bestFit="1" customWidth="1"/>
    <col min="1403" max="1404" width="6" style="80" bestFit="1" customWidth="1"/>
    <col min="1405" max="1405" width="4.7265625" style="80" bestFit="1" customWidth="1"/>
    <col min="1406" max="1409" width="5" style="80" bestFit="1" customWidth="1"/>
    <col min="1410" max="1410" width="4.7265625" style="80" bestFit="1" customWidth="1"/>
    <col min="1411" max="1641" width="8.81640625" style="80"/>
    <col min="1642" max="1642" width="12.26953125" style="80" customWidth="1"/>
    <col min="1643" max="1643" width="9" style="80" bestFit="1" customWidth="1"/>
    <col min="1644" max="1646" width="5.81640625" style="80" customWidth="1"/>
    <col min="1647" max="1647" width="6.1796875" style="80" customWidth="1"/>
    <col min="1648" max="1649" width="5.81640625" style="80" customWidth="1"/>
    <col min="1650" max="1650" width="6.453125" style="80" customWidth="1"/>
    <col min="1651" max="1651" width="9" style="80" bestFit="1" customWidth="1"/>
    <col min="1652" max="1652" width="6.453125" style="80" customWidth="1"/>
    <col min="1653" max="1653" width="6.7265625" style="80" customWidth="1"/>
    <col min="1654" max="1654" width="8" style="80" customWidth="1"/>
    <col min="1655" max="1655" width="6.81640625" style="80" bestFit="1" customWidth="1"/>
    <col min="1656" max="1656" width="4.81640625" style="80" bestFit="1" customWidth="1"/>
    <col min="1657" max="1658" width="6.26953125" style="80" bestFit="1" customWidth="1"/>
    <col min="1659" max="1660" width="6" style="80" bestFit="1" customWidth="1"/>
    <col min="1661" max="1661" width="4.7265625" style="80" bestFit="1" customWidth="1"/>
    <col min="1662" max="1665" width="5" style="80" bestFit="1" customWidth="1"/>
    <col min="1666" max="1666" width="4.7265625" style="80" bestFit="1" customWidth="1"/>
    <col min="1667" max="1897" width="8.81640625" style="80"/>
    <col min="1898" max="1898" width="12.26953125" style="80" customWidth="1"/>
    <col min="1899" max="1899" width="9" style="80" bestFit="1" customWidth="1"/>
    <col min="1900" max="1902" width="5.81640625" style="80" customWidth="1"/>
    <col min="1903" max="1903" width="6.1796875" style="80" customWidth="1"/>
    <col min="1904" max="1905" width="5.81640625" style="80" customWidth="1"/>
    <col min="1906" max="1906" width="6.453125" style="80" customWidth="1"/>
    <col min="1907" max="1907" width="9" style="80" bestFit="1" customWidth="1"/>
    <col min="1908" max="1908" width="6.453125" style="80" customWidth="1"/>
    <col min="1909" max="1909" width="6.7265625" style="80" customWidth="1"/>
    <col min="1910" max="1910" width="8" style="80" customWidth="1"/>
    <col min="1911" max="1911" width="6.81640625" style="80" bestFit="1" customWidth="1"/>
    <col min="1912" max="1912" width="4.81640625" style="80" bestFit="1" customWidth="1"/>
    <col min="1913" max="1914" width="6.26953125" style="80" bestFit="1" customWidth="1"/>
    <col min="1915" max="1916" width="6" style="80" bestFit="1" customWidth="1"/>
    <col min="1917" max="1917" width="4.7265625" style="80" bestFit="1" customWidth="1"/>
    <col min="1918" max="1921" width="5" style="80" bestFit="1" customWidth="1"/>
    <col min="1922" max="1922" width="4.7265625" style="80" bestFit="1" customWidth="1"/>
    <col min="1923" max="2153" width="8.81640625" style="80"/>
    <col min="2154" max="2154" width="12.26953125" style="80" customWidth="1"/>
    <col min="2155" max="2155" width="9" style="80" bestFit="1" customWidth="1"/>
    <col min="2156" max="2158" width="5.81640625" style="80" customWidth="1"/>
    <col min="2159" max="2159" width="6.1796875" style="80" customWidth="1"/>
    <col min="2160" max="2161" width="5.81640625" style="80" customWidth="1"/>
    <col min="2162" max="2162" width="6.453125" style="80" customWidth="1"/>
    <col min="2163" max="2163" width="9" style="80" bestFit="1" customWidth="1"/>
    <col min="2164" max="2164" width="6.453125" style="80" customWidth="1"/>
    <col min="2165" max="2165" width="6.7265625" style="80" customWidth="1"/>
    <col min="2166" max="2166" width="8" style="80" customWidth="1"/>
    <col min="2167" max="2167" width="6.81640625" style="80" bestFit="1" customWidth="1"/>
    <col min="2168" max="2168" width="4.81640625" style="80" bestFit="1" customWidth="1"/>
    <col min="2169" max="2170" width="6.26953125" style="80" bestFit="1" customWidth="1"/>
    <col min="2171" max="2172" width="6" style="80" bestFit="1" customWidth="1"/>
    <col min="2173" max="2173" width="4.7265625" style="80" bestFit="1" customWidth="1"/>
    <col min="2174" max="2177" width="5" style="80" bestFit="1" customWidth="1"/>
    <col min="2178" max="2178" width="4.7265625" style="80" bestFit="1" customWidth="1"/>
    <col min="2179" max="2409" width="8.81640625" style="80"/>
    <col min="2410" max="2410" width="12.26953125" style="80" customWidth="1"/>
    <col min="2411" max="2411" width="9" style="80" bestFit="1" customWidth="1"/>
    <col min="2412" max="2414" width="5.81640625" style="80" customWidth="1"/>
    <col min="2415" max="2415" width="6.1796875" style="80" customWidth="1"/>
    <col min="2416" max="2417" width="5.81640625" style="80" customWidth="1"/>
    <col min="2418" max="2418" width="6.453125" style="80" customWidth="1"/>
    <col min="2419" max="2419" width="9" style="80" bestFit="1" customWidth="1"/>
    <col min="2420" max="2420" width="6.453125" style="80" customWidth="1"/>
    <col min="2421" max="2421" width="6.7265625" style="80" customWidth="1"/>
    <col min="2422" max="2422" width="8" style="80" customWidth="1"/>
    <col min="2423" max="2423" width="6.81640625" style="80" bestFit="1" customWidth="1"/>
    <col min="2424" max="2424" width="4.81640625" style="80" bestFit="1" customWidth="1"/>
    <col min="2425" max="2426" width="6.26953125" style="80" bestFit="1" customWidth="1"/>
    <col min="2427" max="2428" width="6" style="80" bestFit="1" customWidth="1"/>
    <col min="2429" max="2429" width="4.7265625" style="80" bestFit="1" customWidth="1"/>
    <col min="2430" max="2433" width="5" style="80" bestFit="1" customWidth="1"/>
    <col min="2434" max="2434" width="4.7265625" style="80" bestFit="1" customWidth="1"/>
    <col min="2435" max="2665" width="8.81640625" style="80"/>
    <col min="2666" max="2666" width="12.26953125" style="80" customWidth="1"/>
    <col min="2667" max="2667" width="9" style="80" bestFit="1" customWidth="1"/>
    <col min="2668" max="2670" width="5.81640625" style="80" customWidth="1"/>
    <col min="2671" max="2671" width="6.1796875" style="80" customWidth="1"/>
    <col min="2672" max="2673" width="5.81640625" style="80" customWidth="1"/>
    <col min="2674" max="2674" width="6.453125" style="80" customWidth="1"/>
    <col min="2675" max="2675" width="9" style="80" bestFit="1" customWidth="1"/>
    <col min="2676" max="2676" width="6.453125" style="80" customWidth="1"/>
    <col min="2677" max="2677" width="6.7265625" style="80" customWidth="1"/>
    <col min="2678" max="2678" width="8" style="80" customWidth="1"/>
    <col min="2679" max="2679" width="6.81640625" style="80" bestFit="1" customWidth="1"/>
    <col min="2680" max="2680" width="4.81640625" style="80" bestFit="1" customWidth="1"/>
    <col min="2681" max="2682" width="6.26953125" style="80" bestFit="1" customWidth="1"/>
    <col min="2683" max="2684" width="6" style="80" bestFit="1" customWidth="1"/>
    <col min="2685" max="2685" width="4.7265625" style="80" bestFit="1" customWidth="1"/>
    <col min="2686" max="2689" width="5" style="80" bestFit="1" customWidth="1"/>
    <col min="2690" max="2690" width="4.7265625" style="80" bestFit="1" customWidth="1"/>
    <col min="2691" max="2921" width="8.81640625" style="80"/>
    <col min="2922" max="2922" width="12.26953125" style="80" customWidth="1"/>
    <col min="2923" max="2923" width="9" style="80" bestFit="1" customWidth="1"/>
    <col min="2924" max="2926" width="5.81640625" style="80" customWidth="1"/>
    <col min="2927" max="2927" width="6.1796875" style="80" customWidth="1"/>
    <col min="2928" max="2929" width="5.81640625" style="80" customWidth="1"/>
    <col min="2930" max="2930" width="6.453125" style="80" customWidth="1"/>
    <col min="2931" max="2931" width="9" style="80" bestFit="1" customWidth="1"/>
    <col min="2932" max="2932" width="6.453125" style="80" customWidth="1"/>
    <col min="2933" max="2933" width="6.7265625" style="80" customWidth="1"/>
    <col min="2934" max="2934" width="8" style="80" customWidth="1"/>
    <col min="2935" max="2935" width="6.81640625" style="80" bestFit="1" customWidth="1"/>
    <col min="2936" max="2936" width="4.81640625" style="80" bestFit="1" customWidth="1"/>
    <col min="2937" max="2938" width="6.26953125" style="80" bestFit="1" customWidth="1"/>
    <col min="2939" max="2940" width="6" style="80" bestFit="1" customWidth="1"/>
    <col min="2941" max="2941" width="4.7265625" style="80" bestFit="1" customWidth="1"/>
    <col min="2942" max="2945" width="5" style="80" bestFit="1" customWidth="1"/>
    <col min="2946" max="2946" width="4.7265625" style="80" bestFit="1" customWidth="1"/>
    <col min="2947" max="3177" width="8.81640625" style="80"/>
    <col min="3178" max="3178" width="12.26953125" style="80" customWidth="1"/>
    <col min="3179" max="3179" width="9" style="80" bestFit="1" customWidth="1"/>
    <col min="3180" max="3182" width="5.81640625" style="80" customWidth="1"/>
    <col min="3183" max="3183" width="6.1796875" style="80" customWidth="1"/>
    <col min="3184" max="3185" width="5.81640625" style="80" customWidth="1"/>
    <col min="3186" max="3186" width="6.453125" style="80" customWidth="1"/>
    <col min="3187" max="3187" width="9" style="80" bestFit="1" customWidth="1"/>
    <col min="3188" max="3188" width="6.453125" style="80" customWidth="1"/>
    <col min="3189" max="3189" width="6.7265625" style="80" customWidth="1"/>
    <col min="3190" max="3190" width="8" style="80" customWidth="1"/>
    <col min="3191" max="3191" width="6.81640625" style="80" bestFit="1" customWidth="1"/>
    <col min="3192" max="3192" width="4.81640625" style="80" bestFit="1" customWidth="1"/>
    <col min="3193" max="3194" width="6.26953125" style="80" bestFit="1" customWidth="1"/>
    <col min="3195" max="3196" width="6" style="80" bestFit="1" customWidth="1"/>
    <col min="3197" max="3197" width="4.7265625" style="80" bestFit="1" customWidth="1"/>
    <col min="3198" max="3201" width="5" style="80" bestFit="1" customWidth="1"/>
    <col min="3202" max="3202" width="4.7265625" style="80" bestFit="1" customWidth="1"/>
    <col min="3203" max="3433" width="8.81640625" style="80"/>
    <col min="3434" max="3434" width="12.26953125" style="80" customWidth="1"/>
    <col min="3435" max="3435" width="9" style="80" bestFit="1" customWidth="1"/>
    <col min="3436" max="3438" width="5.81640625" style="80" customWidth="1"/>
    <col min="3439" max="3439" width="6.1796875" style="80" customWidth="1"/>
    <col min="3440" max="3441" width="5.81640625" style="80" customWidth="1"/>
    <col min="3442" max="3442" width="6.453125" style="80" customWidth="1"/>
    <col min="3443" max="3443" width="9" style="80" bestFit="1" customWidth="1"/>
    <col min="3444" max="3444" width="6.453125" style="80" customWidth="1"/>
    <col min="3445" max="3445" width="6.7265625" style="80" customWidth="1"/>
    <col min="3446" max="3446" width="8" style="80" customWidth="1"/>
    <col min="3447" max="3447" width="6.81640625" style="80" bestFit="1" customWidth="1"/>
    <col min="3448" max="3448" width="4.81640625" style="80" bestFit="1" customWidth="1"/>
    <col min="3449" max="3450" width="6.26953125" style="80" bestFit="1" customWidth="1"/>
    <col min="3451" max="3452" width="6" style="80" bestFit="1" customWidth="1"/>
    <col min="3453" max="3453" width="4.7265625" style="80" bestFit="1" customWidth="1"/>
    <col min="3454" max="3457" width="5" style="80" bestFit="1" customWidth="1"/>
    <col min="3458" max="3458" width="4.7265625" style="80" bestFit="1" customWidth="1"/>
    <col min="3459" max="3689" width="8.81640625" style="80"/>
    <col min="3690" max="3690" width="12.26953125" style="80" customWidth="1"/>
    <col min="3691" max="3691" width="9" style="80" bestFit="1" customWidth="1"/>
    <col min="3692" max="3694" width="5.81640625" style="80" customWidth="1"/>
    <col min="3695" max="3695" width="6.1796875" style="80" customWidth="1"/>
    <col min="3696" max="3697" width="5.81640625" style="80" customWidth="1"/>
    <col min="3698" max="3698" width="6.453125" style="80" customWidth="1"/>
    <col min="3699" max="3699" width="9" style="80" bestFit="1" customWidth="1"/>
    <col min="3700" max="3700" width="6.453125" style="80" customWidth="1"/>
    <col min="3701" max="3701" width="6.7265625" style="80" customWidth="1"/>
    <col min="3702" max="3702" width="8" style="80" customWidth="1"/>
    <col min="3703" max="3703" width="6.81640625" style="80" bestFit="1" customWidth="1"/>
    <col min="3704" max="3704" width="4.81640625" style="80" bestFit="1" customWidth="1"/>
    <col min="3705" max="3706" width="6.26953125" style="80" bestFit="1" customWidth="1"/>
    <col min="3707" max="3708" width="6" style="80" bestFit="1" customWidth="1"/>
    <col min="3709" max="3709" width="4.7265625" style="80" bestFit="1" customWidth="1"/>
    <col min="3710" max="3713" width="5" style="80" bestFit="1" customWidth="1"/>
    <col min="3714" max="3714" width="4.7265625" style="80" bestFit="1" customWidth="1"/>
    <col min="3715" max="3945" width="8.81640625" style="80"/>
    <col min="3946" max="3946" width="12.26953125" style="80" customWidth="1"/>
    <col min="3947" max="3947" width="9" style="80" bestFit="1" customWidth="1"/>
    <col min="3948" max="3950" width="5.81640625" style="80" customWidth="1"/>
    <col min="3951" max="3951" width="6.1796875" style="80" customWidth="1"/>
    <col min="3952" max="3953" width="5.81640625" style="80" customWidth="1"/>
    <col min="3954" max="3954" width="6.453125" style="80" customWidth="1"/>
    <col min="3955" max="3955" width="9" style="80" bestFit="1" customWidth="1"/>
    <col min="3956" max="3956" width="6.453125" style="80" customWidth="1"/>
    <col min="3957" max="3957" width="6.7265625" style="80" customWidth="1"/>
    <col min="3958" max="3958" width="8" style="80" customWidth="1"/>
    <col min="3959" max="3959" width="6.81640625" style="80" bestFit="1" customWidth="1"/>
    <col min="3960" max="3960" width="4.81640625" style="80" bestFit="1" customWidth="1"/>
    <col min="3961" max="3962" width="6.26953125" style="80" bestFit="1" customWidth="1"/>
    <col min="3963" max="3964" width="6" style="80" bestFit="1" customWidth="1"/>
    <col min="3965" max="3965" width="4.7265625" style="80" bestFit="1" customWidth="1"/>
    <col min="3966" max="3969" width="5" style="80" bestFit="1" customWidth="1"/>
    <col min="3970" max="3970" width="4.7265625" style="80" bestFit="1" customWidth="1"/>
    <col min="3971" max="4201" width="8.81640625" style="80"/>
    <col min="4202" max="4202" width="12.26953125" style="80" customWidth="1"/>
    <col min="4203" max="4203" width="9" style="80" bestFit="1" customWidth="1"/>
    <col min="4204" max="4206" width="5.81640625" style="80" customWidth="1"/>
    <col min="4207" max="4207" width="6.1796875" style="80" customWidth="1"/>
    <col min="4208" max="4209" width="5.81640625" style="80" customWidth="1"/>
    <col min="4210" max="4210" width="6.453125" style="80" customWidth="1"/>
    <col min="4211" max="4211" width="9" style="80" bestFit="1" customWidth="1"/>
    <col min="4212" max="4212" width="6.453125" style="80" customWidth="1"/>
    <col min="4213" max="4213" width="6.7265625" style="80" customWidth="1"/>
    <col min="4214" max="4214" width="8" style="80" customWidth="1"/>
    <col min="4215" max="4215" width="6.81640625" style="80" bestFit="1" customWidth="1"/>
    <col min="4216" max="4216" width="4.81640625" style="80" bestFit="1" customWidth="1"/>
    <col min="4217" max="4218" width="6.26953125" style="80" bestFit="1" customWidth="1"/>
    <col min="4219" max="4220" width="6" style="80" bestFit="1" customWidth="1"/>
    <col min="4221" max="4221" width="4.7265625" style="80" bestFit="1" customWidth="1"/>
    <col min="4222" max="4225" width="5" style="80" bestFit="1" customWidth="1"/>
    <col min="4226" max="4226" width="4.7265625" style="80" bestFit="1" customWidth="1"/>
    <col min="4227" max="4457" width="8.81640625" style="80"/>
    <col min="4458" max="4458" width="12.26953125" style="80" customWidth="1"/>
    <col min="4459" max="4459" width="9" style="80" bestFit="1" customWidth="1"/>
    <col min="4460" max="4462" width="5.81640625" style="80" customWidth="1"/>
    <col min="4463" max="4463" width="6.1796875" style="80" customWidth="1"/>
    <col min="4464" max="4465" width="5.81640625" style="80" customWidth="1"/>
    <col min="4466" max="4466" width="6.453125" style="80" customWidth="1"/>
    <col min="4467" max="4467" width="9" style="80" bestFit="1" customWidth="1"/>
    <col min="4468" max="4468" width="6.453125" style="80" customWidth="1"/>
    <col min="4469" max="4469" width="6.7265625" style="80" customWidth="1"/>
    <col min="4470" max="4470" width="8" style="80" customWidth="1"/>
    <col min="4471" max="4471" width="6.81640625" style="80" bestFit="1" customWidth="1"/>
    <col min="4472" max="4472" width="4.81640625" style="80" bestFit="1" customWidth="1"/>
    <col min="4473" max="4474" width="6.26953125" style="80" bestFit="1" customWidth="1"/>
    <col min="4475" max="4476" width="6" style="80" bestFit="1" customWidth="1"/>
    <col min="4477" max="4477" width="4.7265625" style="80" bestFit="1" customWidth="1"/>
    <col min="4478" max="4481" width="5" style="80" bestFit="1" customWidth="1"/>
    <col min="4482" max="4482" width="4.7265625" style="80" bestFit="1" customWidth="1"/>
    <col min="4483" max="4713" width="8.81640625" style="80"/>
    <col min="4714" max="4714" width="12.26953125" style="80" customWidth="1"/>
    <col min="4715" max="4715" width="9" style="80" bestFit="1" customWidth="1"/>
    <col min="4716" max="4718" width="5.81640625" style="80" customWidth="1"/>
    <col min="4719" max="4719" width="6.1796875" style="80" customWidth="1"/>
    <col min="4720" max="4721" width="5.81640625" style="80" customWidth="1"/>
    <col min="4722" max="4722" width="6.453125" style="80" customWidth="1"/>
    <col min="4723" max="4723" width="9" style="80" bestFit="1" customWidth="1"/>
    <col min="4724" max="4724" width="6.453125" style="80" customWidth="1"/>
    <col min="4725" max="4725" width="6.7265625" style="80" customWidth="1"/>
    <col min="4726" max="4726" width="8" style="80" customWidth="1"/>
    <col min="4727" max="4727" width="6.81640625" style="80" bestFit="1" customWidth="1"/>
    <col min="4728" max="4728" width="4.81640625" style="80" bestFit="1" customWidth="1"/>
    <col min="4729" max="4730" width="6.26953125" style="80" bestFit="1" customWidth="1"/>
    <col min="4731" max="4732" width="6" style="80" bestFit="1" customWidth="1"/>
    <col min="4733" max="4733" width="4.7265625" style="80" bestFit="1" customWidth="1"/>
    <col min="4734" max="4737" width="5" style="80" bestFit="1" customWidth="1"/>
    <col min="4738" max="4738" width="4.7265625" style="80" bestFit="1" customWidth="1"/>
    <col min="4739" max="4969" width="8.81640625" style="80"/>
    <col min="4970" max="4970" width="12.26953125" style="80" customWidth="1"/>
    <col min="4971" max="4971" width="9" style="80" bestFit="1" customWidth="1"/>
    <col min="4972" max="4974" width="5.81640625" style="80" customWidth="1"/>
    <col min="4975" max="4975" width="6.1796875" style="80" customWidth="1"/>
    <col min="4976" max="4977" width="5.81640625" style="80" customWidth="1"/>
    <col min="4978" max="4978" width="6.453125" style="80" customWidth="1"/>
    <col min="4979" max="4979" width="9" style="80" bestFit="1" customWidth="1"/>
    <col min="4980" max="4980" width="6.453125" style="80" customWidth="1"/>
    <col min="4981" max="4981" width="6.7265625" style="80" customWidth="1"/>
    <col min="4982" max="4982" width="8" style="80" customWidth="1"/>
    <col min="4983" max="4983" width="6.81640625" style="80" bestFit="1" customWidth="1"/>
    <col min="4984" max="4984" width="4.81640625" style="80" bestFit="1" customWidth="1"/>
    <col min="4985" max="4986" width="6.26953125" style="80" bestFit="1" customWidth="1"/>
    <col min="4987" max="4988" width="6" style="80" bestFit="1" customWidth="1"/>
    <col min="4989" max="4989" width="4.7265625" style="80" bestFit="1" customWidth="1"/>
    <col min="4990" max="4993" width="5" style="80" bestFit="1" customWidth="1"/>
    <col min="4994" max="4994" width="4.7265625" style="80" bestFit="1" customWidth="1"/>
    <col min="4995" max="5225" width="8.81640625" style="80"/>
    <col min="5226" max="5226" width="12.26953125" style="80" customWidth="1"/>
    <col min="5227" max="5227" width="9" style="80" bestFit="1" customWidth="1"/>
    <col min="5228" max="5230" width="5.81640625" style="80" customWidth="1"/>
    <col min="5231" max="5231" width="6.1796875" style="80" customWidth="1"/>
    <col min="5232" max="5233" width="5.81640625" style="80" customWidth="1"/>
    <col min="5234" max="5234" width="6.453125" style="80" customWidth="1"/>
    <col min="5235" max="5235" width="9" style="80" bestFit="1" customWidth="1"/>
    <col min="5236" max="5236" width="6.453125" style="80" customWidth="1"/>
    <col min="5237" max="5237" width="6.7265625" style="80" customWidth="1"/>
    <col min="5238" max="5238" width="8" style="80" customWidth="1"/>
    <col min="5239" max="5239" width="6.81640625" style="80" bestFit="1" customWidth="1"/>
    <col min="5240" max="5240" width="4.81640625" style="80" bestFit="1" customWidth="1"/>
    <col min="5241" max="5242" width="6.26953125" style="80" bestFit="1" customWidth="1"/>
    <col min="5243" max="5244" width="6" style="80" bestFit="1" customWidth="1"/>
    <col min="5245" max="5245" width="4.7265625" style="80" bestFit="1" customWidth="1"/>
    <col min="5246" max="5249" width="5" style="80" bestFit="1" customWidth="1"/>
    <col min="5250" max="5250" width="4.7265625" style="80" bestFit="1" customWidth="1"/>
    <col min="5251" max="5481" width="8.81640625" style="80"/>
    <col min="5482" max="5482" width="12.26953125" style="80" customWidth="1"/>
    <col min="5483" max="5483" width="9" style="80" bestFit="1" customWidth="1"/>
    <col min="5484" max="5486" width="5.81640625" style="80" customWidth="1"/>
    <col min="5487" max="5487" width="6.1796875" style="80" customWidth="1"/>
    <col min="5488" max="5489" width="5.81640625" style="80" customWidth="1"/>
    <col min="5490" max="5490" width="6.453125" style="80" customWidth="1"/>
    <col min="5491" max="5491" width="9" style="80" bestFit="1" customWidth="1"/>
    <col min="5492" max="5492" width="6.453125" style="80" customWidth="1"/>
    <col min="5493" max="5493" width="6.7265625" style="80" customWidth="1"/>
    <col min="5494" max="5494" width="8" style="80" customWidth="1"/>
    <col min="5495" max="5495" width="6.81640625" style="80" bestFit="1" customWidth="1"/>
    <col min="5496" max="5496" width="4.81640625" style="80" bestFit="1" customWidth="1"/>
    <col min="5497" max="5498" width="6.26953125" style="80" bestFit="1" customWidth="1"/>
    <col min="5499" max="5500" width="6" style="80" bestFit="1" customWidth="1"/>
    <col min="5501" max="5501" width="4.7265625" style="80" bestFit="1" customWidth="1"/>
    <col min="5502" max="5505" width="5" style="80" bestFit="1" customWidth="1"/>
    <col min="5506" max="5506" width="4.7265625" style="80" bestFit="1" customWidth="1"/>
    <col min="5507" max="5737" width="8.81640625" style="80"/>
    <col min="5738" max="5738" width="12.26953125" style="80" customWidth="1"/>
    <col min="5739" max="5739" width="9" style="80" bestFit="1" customWidth="1"/>
    <col min="5740" max="5742" width="5.81640625" style="80" customWidth="1"/>
    <col min="5743" max="5743" width="6.1796875" style="80" customWidth="1"/>
    <col min="5744" max="5745" width="5.81640625" style="80" customWidth="1"/>
    <col min="5746" max="5746" width="6.453125" style="80" customWidth="1"/>
    <col min="5747" max="5747" width="9" style="80" bestFit="1" customWidth="1"/>
    <col min="5748" max="5748" width="6.453125" style="80" customWidth="1"/>
    <col min="5749" max="5749" width="6.7265625" style="80" customWidth="1"/>
    <col min="5750" max="5750" width="8" style="80" customWidth="1"/>
    <col min="5751" max="5751" width="6.81640625" style="80" bestFit="1" customWidth="1"/>
    <col min="5752" max="5752" width="4.81640625" style="80" bestFit="1" customWidth="1"/>
    <col min="5753" max="5754" width="6.26953125" style="80" bestFit="1" customWidth="1"/>
    <col min="5755" max="5756" width="6" style="80" bestFit="1" customWidth="1"/>
    <col min="5757" max="5757" width="4.7265625" style="80" bestFit="1" customWidth="1"/>
    <col min="5758" max="5761" width="5" style="80" bestFit="1" customWidth="1"/>
    <col min="5762" max="5762" width="4.7265625" style="80" bestFit="1" customWidth="1"/>
    <col min="5763" max="5993" width="8.81640625" style="80"/>
    <col min="5994" max="5994" width="12.26953125" style="80" customWidth="1"/>
    <col min="5995" max="5995" width="9" style="80" bestFit="1" customWidth="1"/>
    <col min="5996" max="5998" width="5.81640625" style="80" customWidth="1"/>
    <col min="5999" max="5999" width="6.1796875" style="80" customWidth="1"/>
    <col min="6000" max="6001" width="5.81640625" style="80" customWidth="1"/>
    <col min="6002" max="6002" width="6.453125" style="80" customWidth="1"/>
    <col min="6003" max="6003" width="9" style="80" bestFit="1" customWidth="1"/>
    <col min="6004" max="6004" width="6.453125" style="80" customWidth="1"/>
    <col min="6005" max="6005" width="6.7265625" style="80" customWidth="1"/>
    <col min="6006" max="6006" width="8" style="80" customWidth="1"/>
    <col min="6007" max="6007" width="6.81640625" style="80" bestFit="1" customWidth="1"/>
    <col min="6008" max="6008" width="4.81640625" style="80" bestFit="1" customWidth="1"/>
    <col min="6009" max="6010" width="6.26953125" style="80" bestFit="1" customWidth="1"/>
    <col min="6011" max="6012" width="6" style="80" bestFit="1" customWidth="1"/>
    <col min="6013" max="6013" width="4.7265625" style="80" bestFit="1" customWidth="1"/>
    <col min="6014" max="6017" width="5" style="80" bestFit="1" customWidth="1"/>
    <col min="6018" max="6018" width="4.7265625" style="80" bestFit="1" customWidth="1"/>
    <col min="6019" max="6249" width="8.81640625" style="80"/>
    <col min="6250" max="6250" width="12.26953125" style="80" customWidth="1"/>
    <col min="6251" max="6251" width="9" style="80" bestFit="1" customWidth="1"/>
    <col min="6252" max="6254" width="5.81640625" style="80" customWidth="1"/>
    <col min="6255" max="6255" width="6.1796875" style="80" customWidth="1"/>
    <col min="6256" max="6257" width="5.81640625" style="80" customWidth="1"/>
    <col min="6258" max="6258" width="6.453125" style="80" customWidth="1"/>
    <col min="6259" max="6259" width="9" style="80" bestFit="1" customWidth="1"/>
    <col min="6260" max="6260" width="6.453125" style="80" customWidth="1"/>
    <col min="6261" max="6261" width="6.7265625" style="80" customWidth="1"/>
    <col min="6262" max="6262" width="8" style="80" customWidth="1"/>
    <col min="6263" max="6263" width="6.81640625" style="80" bestFit="1" customWidth="1"/>
    <col min="6264" max="6264" width="4.81640625" style="80" bestFit="1" customWidth="1"/>
    <col min="6265" max="6266" width="6.26953125" style="80" bestFit="1" customWidth="1"/>
    <col min="6267" max="6268" width="6" style="80" bestFit="1" customWidth="1"/>
    <col min="6269" max="6269" width="4.7265625" style="80" bestFit="1" customWidth="1"/>
    <col min="6270" max="6273" width="5" style="80" bestFit="1" customWidth="1"/>
    <col min="6274" max="6274" width="4.7265625" style="80" bestFit="1" customWidth="1"/>
    <col min="6275" max="6505" width="8.81640625" style="80"/>
    <col min="6506" max="6506" width="12.26953125" style="80" customWidth="1"/>
    <col min="6507" max="6507" width="9" style="80" bestFit="1" customWidth="1"/>
    <col min="6508" max="6510" width="5.81640625" style="80" customWidth="1"/>
    <col min="6511" max="6511" width="6.1796875" style="80" customWidth="1"/>
    <col min="6512" max="6513" width="5.81640625" style="80" customWidth="1"/>
    <col min="6514" max="6514" width="6.453125" style="80" customWidth="1"/>
    <col min="6515" max="6515" width="9" style="80" bestFit="1" customWidth="1"/>
    <col min="6516" max="6516" width="6.453125" style="80" customWidth="1"/>
    <col min="6517" max="6517" width="6.7265625" style="80" customWidth="1"/>
    <col min="6518" max="6518" width="8" style="80" customWidth="1"/>
    <col min="6519" max="6519" width="6.81640625" style="80" bestFit="1" customWidth="1"/>
    <col min="6520" max="6520" width="4.81640625" style="80" bestFit="1" customWidth="1"/>
    <col min="6521" max="6522" width="6.26953125" style="80" bestFit="1" customWidth="1"/>
    <col min="6523" max="6524" width="6" style="80" bestFit="1" customWidth="1"/>
    <col min="6525" max="6525" width="4.7265625" style="80" bestFit="1" customWidth="1"/>
    <col min="6526" max="6529" width="5" style="80" bestFit="1" customWidth="1"/>
    <col min="6530" max="6530" width="4.7265625" style="80" bestFit="1" customWidth="1"/>
    <col min="6531" max="6761" width="8.81640625" style="80"/>
    <col min="6762" max="6762" width="12.26953125" style="80" customWidth="1"/>
    <col min="6763" max="6763" width="9" style="80" bestFit="1" customWidth="1"/>
    <col min="6764" max="6766" width="5.81640625" style="80" customWidth="1"/>
    <col min="6767" max="6767" width="6.1796875" style="80" customWidth="1"/>
    <col min="6768" max="6769" width="5.81640625" style="80" customWidth="1"/>
    <col min="6770" max="6770" width="6.453125" style="80" customWidth="1"/>
    <col min="6771" max="6771" width="9" style="80" bestFit="1" customWidth="1"/>
    <col min="6772" max="6772" width="6.453125" style="80" customWidth="1"/>
    <col min="6773" max="6773" width="6.7265625" style="80" customWidth="1"/>
    <col min="6774" max="6774" width="8" style="80" customWidth="1"/>
    <col min="6775" max="6775" width="6.81640625" style="80" bestFit="1" customWidth="1"/>
    <col min="6776" max="6776" width="4.81640625" style="80" bestFit="1" customWidth="1"/>
    <col min="6777" max="6778" width="6.26953125" style="80" bestFit="1" customWidth="1"/>
    <col min="6779" max="6780" width="6" style="80" bestFit="1" customWidth="1"/>
    <col min="6781" max="6781" width="4.7265625" style="80" bestFit="1" customWidth="1"/>
    <col min="6782" max="6785" width="5" style="80" bestFit="1" customWidth="1"/>
    <col min="6786" max="6786" width="4.7265625" style="80" bestFit="1" customWidth="1"/>
    <col min="6787" max="7017" width="8.81640625" style="80"/>
    <col min="7018" max="7018" width="12.26953125" style="80" customWidth="1"/>
    <col min="7019" max="7019" width="9" style="80" bestFit="1" customWidth="1"/>
    <col min="7020" max="7022" width="5.81640625" style="80" customWidth="1"/>
    <col min="7023" max="7023" width="6.1796875" style="80" customWidth="1"/>
    <col min="7024" max="7025" width="5.81640625" style="80" customWidth="1"/>
    <col min="7026" max="7026" width="6.453125" style="80" customWidth="1"/>
    <col min="7027" max="7027" width="9" style="80" bestFit="1" customWidth="1"/>
    <col min="7028" max="7028" width="6.453125" style="80" customWidth="1"/>
    <col min="7029" max="7029" width="6.7265625" style="80" customWidth="1"/>
    <col min="7030" max="7030" width="8" style="80" customWidth="1"/>
    <col min="7031" max="7031" width="6.81640625" style="80" bestFit="1" customWidth="1"/>
    <col min="7032" max="7032" width="4.81640625" style="80" bestFit="1" customWidth="1"/>
    <col min="7033" max="7034" width="6.26953125" style="80" bestFit="1" customWidth="1"/>
    <col min="7035" max="7036" width="6" style="80" bestFit="1" customWidth="1"/>
    <col min="7037" max="7037" width="4.7265625" style="80" bestFit="1" customWidth="1"/>
    <col min="7038" max="7041" width="5" style="80" bestFit="1" customWidth="1"/>
    <col min="7042" max="7042" width="4.7265625" style="80" bestFit="1" customWidth="1"/>
    <col min="7043" max="7273" width="8.81640625" style="80"/>
    <col min="7274" max="7274" width="12.26953125" style="80" customWidth="1"/>
    <col min="7275" max="7275" width="9" style="80" bestFit="1" customWidth="1"/>
    <col min="7276" max="7278" width="5.81640625" style="80" customWidth="1"/>
    <col min="7279" max="7279" width="6.1796875" style="80" customWidth="1"/>
    <col min="7280" max="7281" width="5.81640625" style="80" customWidth="1"/>
    <col min="7282" max="7282" width="6.453125" style="80" customWidth="1"/>
    <col min="7283" max="7283" width="9" style="80" bestFit="1" customWidth="1"/>
    <col min="7284" max="7284" width="6.453125" style="80" customWidth="1"/>
    <col min="7285" max="7285" width="6.7265625" style="80" customWidth="1"/>
    <col min="7286" max="7286" width="8" style="80" customWidth="1"/>
    <col min="7287" max="7287" width="6.81640625" style="80" bestFit="1" customWidth="1"/>
    <col min="7288" max="7288" width="4.81640625" style="80" bestFit="1" customWidth="1"/>
    <col min="7289" max="7290" width="6.26953125" style="80" bestFit="1" customWidth="1"/>
    <col min="7291" max="7292" width="6" style="80" bestFit="1" customWidth="1"/>
    <col min="7293" max="7293" width="4.7265625" style="80" bestFit="1" customWidth="1"/>
    <col min="7294" max="7297" width="5" style="80" bestFit="1" customWidth="1"/>
    <col min="7298" max="7298" width="4.7265625" style="80" bestFit="1" customWidth="1"/>
    <col min="7299" max="7529" width="8.81640625" style="80"/>
    <col min="7530" max="7530" width="12.26953125" style="80" customWidth="1"/>
    <col min="7531" max="7531" width="9" style="80" bestFit="1" customWidth="1"/>
    <col min="7532" max="7534" width="5.81640625" style="80" customWidth="1"/>
    <col min="7535" max="7535" width="6.1796875" style="80" customWidth="1"/>
    <col min="7536" max="7537" width="5.81640625" style="80" customWidth="1"/>
    <col min="7538" max="7538" width="6.453125" style="80" customWidth="1"/>
    <col min="7539" max="7539" width="9" style="80" bestFit="1" customWidth="1"/>
    <col min="7540" max="7540" width="6.453125" style="80" customWidth="1"/>
    <col min="7541" max="7541" width="6.7265625" style="80" customWidth="1"/>
    <col min="7542" max="7542" width="8" style="80" customWidth="1"/>
    <col min="7543" max="7543" width="6.81640625" style="80" bestFit="1" customWidth="1"/>
    <col min="7544" max="7544" width="4.81640625" style="80" bestFit="1" customWidth="1"/>
    <col min="7545" max="7546" width="6.26953125" style="80" bestFit="1" customWidth="1"/>
    <col min="7547" max="7548" width="6" style="80" bestFit="1" customWidth="1"/>
    <col min="7549" max="7549" width="4.7265625" style="80" bestFit="1" customWidth="1"/>
    <col min="7550" max="7553" width="5" style="80" bestFit="1" customWidth="1"/>
    <col min="7554" max="7554" width="4.7265625" style="80" bestFit="1" customWidth="1"/>
    <col min="7555" max="7785" width="8.81640625" style="80"/>
    <col min="7786" max="7786" width="12.26953125" style="80" customWidth="1"/>
    <col min="7787" max="7787" width="9" style="80" bestFit="1" customWidth="1"/>
    <col min="7788" max="7790" width="5.81640625" style="80" customWidth="1"/>
    <col min="7791" max="7791" width="6.1796875" style="80" customWidth="1"/>
    <col min="7792" max="7793" width="5.81640625" style="80" customWidth="1"/>
    <col min="7794" max="7794" width="6.453125" style="80" customWidth="1"/>
    <col min="7795" max="7795" width="9" style="80" bestFit="1" customWidth="1"/>
    <col min="7796" max="7796" width="6.453125" style="80" customWidth="1"/>
    <col min="7797" max="7797" width="6.7265625" style="80" customWidth="1"/>
    <col min="7798" max="7798" width="8" style="80" customWidth="1"/>
    <col min="7799" max="7799" width="6.81640625" style="80" bestFit="1" customWidth="1"/>
    <col min="7800" max="7800" width="4.81640625" style="80" bestFit="1" customWidth="1"/>
    <col min="7801" max="7802" width="6.26953125" style="80" bestFit="1" customWidth="1"/>
    <col min="7803" max="7804" width="6" style="80" bestFit="1" customWidth="1"/>
    <col min="7805" max="7805" width="4.7265625" style="80" bestFit="1" customWidth="1"/>
    <col min="7806" max="7809" width="5" style="80" bestFit="1" customWidth="1"/>
    <col min="7810" max="7810" width="4.7265625" style="80" bestFit="1" customWidth="1"/>
    <col min="7811" max="8041" width="8.81640625" style="80"/>
    <col min="8042" max="8042" width="12.26953125" style="80" customWidth="1"/>
    <col min="8043" max="8043" width="9" style="80" bestFit="1" customWidth="1"/>
    <col min="8044" max="8046" width="5.81640625" style="80" customWidth="1"/>
    <col min="8047" max="8047" width="6.1796875" style="80" customWidth="1"/>
    <col min="8048" max="8049" width="5.81640625" style="80" customWidth="1"/>
    <col min="8050" max="8050" width="6.453125" style="80" customWidth="1"/>
    <col min="8051" max="8051" width="9" style="80" bestFit="1" customWidth="1"/>
    <col min="8052" max="8052" width="6.453125" style="80" customWidth="1"/>
    <col min="8053" max="8053" width="6.7265625" style="80" customWidth="1"/>
    <col min="8054" max="8054" width="8" style="80" customWidth="1"/>
    <col min="8055" max="8055" width="6.81640625" style="80" bestFit="1" customWidth="1"/>
    <col min="8056" max="8056" width="4.81640625" style="80" bestFit="1" customWidth="1"/>
    <col min="8057" max="8058" width="6.26953125" style="80" bestFit="1" customWidth="1"/>
    <col min="8059" max="8060" width="6" style="80" bestFit="1" customWidth="1"/>
    <col min="8061" max="8061" width="4.7265625" style="80" bestFit="1" customWidth="1"/>
    <col min="8062" max="8065" width="5" style="80" bestFit="1" customWidth="1"/>
    <col min="8066" max="8066" width="4.7265625" style="80" bestFit="1" customWidth="1"/>
    <col min="8067" max="8297" width="8.81640625" style="80"/>
    <col min="8298" max="8298" width="12.26953125" style="80" customWidth="1"/>
    <col min="8299" max="8299" width="9" style="80" bestFit="1" customWidth="1"/>
    <col min="8300" max="8302" width="5.81640625" style="80" customWidth="1"/>
    <col min="8303" max="8303" width="6.1796875" style="80" customWidth="1"/>
    <col min="8304" max="8305" width="5.81640625" style="80" customWidth="1"/>
    <col min="8306" max="8306" width="6.453125" style="80" customWidth="1"/>
    <col min="8307" max="8307" width="9" style="80" bestFit="1" customWidth="1"/>
    <col min="8308" max="8308" width="6.453125" style="80" customWidth="1"/>
    <col min="8309" max="8309" width="6.7265625" style="80" customWidth="1"/>
    <col min="8310" max="8310" width="8" style="80" customWidth="1"/>
    <col min="8311" max="8311" width="6.81640625" style="80" bestFit="1" customWidth="1"/>
    <col min="8312" max="8312" width="4.81640625" style="80" bestFit="1" customWidth="1"/>
    <col min="8313" max="8314" width="6.26953125" style="80" bestFit="1" customWidth="1"/>
    <col min="8315" max="8316" width="6" style="80" bestFit="1" customWidth="1"/>
    <col min="8317" max="8317" width="4.7265625" style="80" bestFit="1" customWidth="1"/>
    <col min="8318" max="8321" width="5" style="80" bestFit="1" customWidth="1"/>
    <col min="8322" max="8322" width="4.7265625" style="80" bestFit="1" customWidth="1"/>
    <col min="8323" max="8553" width="8.81640625" style="80"/>
    <col min="8554" max="8554" width="12.26953125" style="80" customWidth="1"/>
    <col min="8555" max="8555" width="9" style="80" bestFit="1" customWidth="1"/>
    <col min="8556" max="8558" width="5.81640625" style="80" customWidth="1"/>
    <col min="8559" max="8559" width="6.1796875" style="80" customWidth="1"/>
    <col min="8560" max="8561" width="5.81640625" style="80" customWidth="1"/>
    <col min="8562" max="8562" width="6.453125" style="80" customWidth="1"/>
    <col min="8563" max="8563" width="9" style="80" bestFit="1" customWidth="1"/>
    <col min="8564" max="8564" width="6.453125" style="80" customWidth="1"/>
    <col min="8565" max="8565" width="6.7265625" style="80" customWidth="1"/>
    <col min="8566" max="8566" width="8" style="80" customWidth="1"/>
    <col min="8567" max="8567" width="6.81640625" style="80" bestFit="1" customWidth="1"/>
    <col min="8568" max="8568" width="4.81640625" style="80" bestFit="1" customWidth="1"/>
    <col min="8569" max="8570" width="6.26953125" style="80" bestFit="1" customWidth="1"/>
    <col min="8571" max="8572" width="6" style="80" bestFit="1" customWidth="1"/>
    <col min="8573" max="8573" width="4.7265625" style="80" bestFit="1" customWidth="1"/>
    <col min="8574" max="8577" width="5" style="80" bestFit="1" customWidth="1"/>
    <col min="8578" max="8578" width="4.7265625" style="80" bestFit="1" customWidth="1"/>
    <col min="8579" max="8809" width="8.81640625" style="80"/>
    <col min="8810" max="8810" width="12.26953125" style="80" customWidth="1"/>
    <col min="8811" max="8811" width="9" style="80" bestFit="1" customWidth="1"/>
    <col min="8812" max="8814" width="5.81640625" style="80" customWidth="1"/>
    <col min="8815" max="8815" width="6.1796875" style="80" customWidth="1"/>
    <col min="8816" max="8817" width="5.81640625" style="80" customWidth="1"/>
    <col min="8818" max="8818" width="6.453125" style="80" customWidth="1"/>
    <col min="8819" max="8819" width="9" style="80" bestFit="1" customWidth="1"/>
    <col min="8820" max="8820" width="6.453125" style="80" customWidth="1"/>
    <col min="8821" max="8821" width="6.7265625" style="80" customWidth="1"/>
    <col min="8822" max="8822" width="8" style="80" customWidth="1"/>
    <col min="8823" max="8823" width="6.81640625" style="80" bestFit="1" customWidth="1"/>
    <col min="8824" max="8824" width="4.81640625" style="80" bestFit="1" customWidth="1"/>
    <col min="8825" max="8826" width="6.26953125" style="80" bestFit="1" customWidth="1"/>
    <col min="8827" max="8828" width="6" style="80" bestFit="1" customWidth="1"/>
    <col min="8829" max="8829" width="4.7265625" style="80" bestFit="1" customWidth="1"/>
    <col min="8830" max="8833" width="5" style="80" bestFit="1" customWidth="1"/>
    <col min="8834" max="8834" width="4.7265625" style="80" bestFit="1" customWidth="1"/>
    <col min="8835" max="9065" width="8.81640625" style="80"/>
    <col min="9066" max="9066" width="12.26953125" style="80" customWidth="1"/>
    <col min="9067" max="9067" width="9" style="80" bestFit="1" customWidth="1"/>
    <col min="9068" max="9070" width="5.81640625" style="80" customWidth="1"/>
    <col min="9071" max="9071" width="6.1796875" style="80" customWidth="1"/>
    <col min="9072" max="9073" width="5.81640625" style="80" customWidth="1"/>
    <col min="9074" max="9074" width="6.453125" style="80" customWidth="1"/>
    <col min="9075" max="9075" width="9" style="80" bestFit="1" customWidth="1"/>
    <col min="9076" max="9076" width="6.453125" style="80" customWidth="1"/>
    <col min="9077" max="9077" width="6.7265625" style="80" customWidth="1"/>
    <col min="9078" max="9078" width="8" style="80" customWidth="1"/>
    <col min="9079" max="9079" width="6.81640625" style="80" bestFit="1" customWidth="1"/>
    <col min="9080" max="9080" width="4.81640625" style="80" bestFit="1" customWidth="1"/>
    <col min="9081" max="9082" width="6.26953125" style="80" bestFit="1" customWidth="1"/>
    <col min="9083" max="9084" width="6" style="80" bestFit="1" customWidth="1"/>
    <col min="9085" max="9085" width="4.7265625" style="80" bestFit="1" customWidth="1"/>
    <col min="9086" max="9089" width="5" style="80" bestFit="1" customWidth="1"/>
    <col min="9090" max="9090" width="4.7265625" style="80" bestFit="1" customWidth="1"/>
    <col min="9091" max="9321" width="8.81640625" style="80"/>
    <col min="9322" max="9322" width="12.26953125" style="80" customWidth="1"/>
    <col min="9323" max="9323" width="9" style="80" bestFit="1" customWidth="1"/>
    <col min="9324" max="9326" width="5.81640625" style="80" customWidth="1"/>
    <col min="9327" max="9327" width="6.1796875" style="80" customWidth="1"/>
    <col min="9328" max="9329" width="5.81640625" style="80" customWidth="1"/>
    <col min="9330" max="9330" width="6.453125" style="80" customWidth="1"/>
    <col min="9331" max="9331" width="9" style="80" bestFit="1" customWidth="1"/>
    <col min="9332" max="9332" width="6.453125" style="80" customWidth="1"/>
    <col min="9333" max="9333" width="6.7265625" style="80" customWidth="1"/>
    <col min="9334" max="9334" width="8" style="80" customWidth="1"/>
    <col min="9335" max="9335" width="6.81640625" style="80" bestFit="1" customWidth="1"/>
    <col min="9336" max="9336" width="4.81640625" style="80" bestFit="1" customWidth="1"/>
    <col min="9337" max="9338" width="6.26953125" style="80" bestFit="1" customWidth="1"/>
    <col min="9339" max="9340" width="6" style="80" bestFit="1" customWidth="1"/>
    <col min="9341" max="9341" width="4.7265625" style="80" bestFit="1" customWidth="1"/>
    <col min="9342" max="9345" width="5" style="80" bestFit="1" customWidth="1"/>
    <col min="9346" max="9346" width="4.7265625" style="80" bestFit="1" customWidth="1"/>
    <col min="9347" max="9577" width="8.81640625" style="80"/>
    <col min="9578" max="9578" width="12.26953125" style="80" customWidth="1"/>
    <col min="9579" max="9579" width="9" style="80" bestFit="1" customWidth="1"/>
    <col min="9580" max="9582" width="5.81640625" style="80" customWidth="1"/>
    <col min="9583" max="9583" width="6.1796875" style="80" customWidth="1"/>
    <col min="9584" max="9585" width="5.81640625" style="80" customWidth="1"/>
    <col min="9586" max="9586" width="6.453125" style="80" customWidth="1"/>
    <col min="9587" max="9587" width="9" style="80" bestFit="1" customWidth="1"/>
    <col min="9588" max="9588" width="6.453125" style="80" customWidth="1"/>
    <col min="9589" max="9589" width="6.7265625" style="80" customWidth="1"/>
    <col min="9590" max="9590" width="8" style="80" customWidth="1"/>
    <col min="9591" max="9591" width="6.81640625" style="80" bestFit="1" customWidth="1"/>
    <col min="9592" max="9592" width="4.81640625" style="80" bestFit="1" customWidth="1"/>
    <col min="9593" max="9594" width="6.26953125" style="80" bestFit="1" customWidth="1"/>
    <col min="9595" max="9596" width="6" style="80" bestFit="1" customWidth="1"/>
    <col min="9597" max="9597" width="4.7265625" style="80" bestFit="1" customWidth="1"/>
    <col min="9598" max="9601" width="5" style="80" bestFit="1" customWidth="1"/>
    <col min="9602" max="9602" width="4.7265625" style="80" bestFit="1" customWidth="1"/>
    <col min="9603" max="9833" width="8.81640625" style="80"/>
    <col min="9834" max="9834" width="12.26953125" style="80" customWidth="1"/>
    <col min="9835" max="9835" width="9" style="80" bestFit="1" customWidth="1"/>
    <col min="9836" max="9838" width="5.81640625" style="80" customWidth="1"/>
    <col min="9839" max="9839" width="6.1796875" style="80" customWidth="1"/>
    <col min="9840" max="9841" width="5.81640625" style="80" customWidth="1"/>
    <col min="9842" max="9842" width="6.453125" style="80" customWidth="1"/>
    <col min="9843" max="9843" width="9" style="80" bestFit="1" customWidth="1"/>
    <col min="9844" max="9844" width="6.453125" style="80" customWidth="1"/>
    <col min="9845" max="9845" width="6.7265625" style="80" customWidth="1"/>
    <col min="9846" max="9846" width="8" style="80" customWidth="1"/>
    <col min="9847" max="9847" width="6.81640625" style="80" bestFit="1" customWidth="1"/>
    <col min="9848" max="9848" width="4.81640625" style="80" bestFit="1" customWidth="1"/>
    <col min="9849" max="9850" width="6.26953125" style="80" bestFit="1" customWidth="1"/>
    <col min="9851" max="9852" width="6" style="80" bestFit="1" customWidth="1"/>
    <col min="9853" max="9853" width="4.7265625" style="80" bestFit="1" customWidth="1"/>
    <col min="9854" max="9857" width="5" style="80" bestFit="1" customWidth="1"/>
    <col min="9858" max="9858" width="4.7265625" style="80" bestFit="1" customWidth="1"/>
    <col min="9859" max="10089" width="8.81640625" style="80"/>
    <col min="10090" max="10090" width="12.26953125" style="80" customWidth="1"/>
    <col min="10091" max="10091" width="9" style="80" bestFit="1" customWidth="1"/>
    <col min="10092" max="10094" width="5.81640625" style="80" customWidth="1"/>
    <col min="10095" max="10095" width="6.1796875" style="80" customWidth="1"/>
    <col min="10096" max="10097" width="5.81640625" style="80" customWidth="1"/>
    <col min="10098" max="10098" width="6.453125" style="80" customWidth="1"/>
    <col min="10099" max="10099" width="9" style="80" bestFit="1" customWidth="1"/>
    <col min="10100" max="10100" width="6.453125" style="80" customWidth="1"/>
    <col min="10101" max="10101" width="6.7265625" style="80" customWidth="1"/>
    <col min="10102" max="10102" width="8" style="80" customWidth="1"/>
    <col min="10103" max="10103" width="6.81640625" style="80" bestFit="1" customWidth="1"/>
    <col min="10104" max="10104" width="4.81640625" style="80" bestFit="1" customWidth="1"/>
    <col min="10105" max="10106" width="6.26953125" style="80" bestFit="1" customWidth="1"/>
    <col min="10107" max="10108" width="6" style="80" bestFit="1" customWidth="1"/>
    <col min="10109" max="10109" width="4.7265625" style="80" bestFit="1" customWidth="1"/>
    <col min="10110" max="10113" width="5" style="80" bestFit="1" customWidth="1"/>
    <col min="10114" max="10114" width="4.7265625" style="80" bestFit="1" customWidth="1"/>
    <col min="10115" max="10345" width="8.81640625" style="80"/>
    <col min="10346" max="10346" width="12.26953125" style="80" customWidth="1"/>
    <col min="10347" max="10347" width="9" style="80" bestFit="1" customWidth="1"/>
    <col min="10348" max="10350" width="5.81640625" style="80" customWidth="1"/>
    <col min="10351" max="10351" width="6.1796875" style="80" customWidth="1"/>
    <col min="10352" max="10353" width="5.81640625" style="80" customWidth="1"/>
    <col min="10354" max="10354" width="6.453125" style="80" customWidth="1"/>
    <col min="10355" max="10355" width="9" style="80" bestFit="1" customWidth="1"/>
    <col min="10356" max="10356" width="6.453125" style="80" customWidth="1"/>
    <col min="10357" max="10357" width="6.7265625" style="80" customWidth="1"/>
    <col min="10358" max="10358" width="8" style="80" customWidth="1"/>
    <col min="10359" max="10359" width="6.81640625" style="80" bestFit="1" customWidth="1"/>
    <col min="10360" max="10360" width="4.81640625" style="80" bestFit="1" customWidth="1"/>
    <col min="10361" max="10362" width="6.26953125" style="80" bestFit="1" customWidth="1"/>
    <col min="10363" max="10364" width="6" style="80" bestFit="1" customWidth="1"/>
    <col min="10365" max="10365" width="4.7265625" style="80" bestFit="1" customWidth="1"/>
    <col min="10366" max="10369" width="5" style="80" bestFit="1" customWidth="1"/>
    <col min="10370" max="10370" width="4.7265625" style="80" bestFit="1" customWidth="1"/>
    <col min="10371" max="10601" width="8.81640625" style="80"/>
    <col min="10602" max="10602" width="12.26953125" style="80" customWidth="1"/>
    <col min="10603" max="10603" width="9" style="80" bestFit="1" customWidth="1"/>
    <col min="10604" max="10606" width="5.81640625" style="80" customWidth="1"/>
    <col min="10607" max="10607" width="6.1796875" style="80" customWidth="1"/>
    <col min="10608" max="10609" width="5.81640625" style="80" customWidth="1"/>
    <col min="10610" max="10610" width="6.453125" style="80" customWidth="1"/>
    <col min="10611" max="10611" width="9" style="80" bestFit="1" customWidth="1"/>
    <col min="10612" max="10612" width="6.453125" style="80" customWidth="1"/>
    <col min="10613" max="10613" width="6.7265625" style="80" customWidth="1"/>
    <col min="10614" max="10614" width="8" style="80" customWidth="1"/>
    <col min="10615" max="10615" width="6.81640625" style="80" bestFit="1" customWidth="1"/>
    <col min="10616" max="10616" width="4.81640625" style="80" bestFit="1" customWidth="1"/>
    <col min="10617" max="10618" width="6.26953125" style="80" bestFit="1" customWidth="1"/>
    <col min="10619" max="10620" width="6" style="80" bestFit="1" customWidth="1"/>
    <col min="10621" max="10621" width="4.7265625" style="80" bestFit="1" customWidth="1"/>
    <col min="10622" max="10625" width="5" style="80" bestFit="1" customWidth="1"/>
    <col min="10626" max="10626" width="4.7265625" style="80" bestFit="1" customWidth="1"/>
    <col min="10627" max="10857" width="8.81640625" style="80"/>
    <col min="10858" max="10858" width="12.26953125" style="80" customWidth="1"/>
    <col min="10859" max="10859" width="9" style="80" bestFit="1" customWidth="1"/>
    <col min="10860" max="10862" width="5.81640625" style="80" customWidth="1"/>
    <col min="10863" max="10863" width="6.1796875" style="80" customWidth="1"/>
    <col min="10864" max="10865" width="5.81640625" style="80" customWidth="1"/>
    <col min="10866" max="10866" width="6.453125" style="80" customWidth="1"/>
    <col min="10867" max="10867" width="9" style="80" bestFit="1" customWidth="1"/>
    <col min="10868" max="10868" width="6.453125" style="80" customWidth="1"/>
    <col min="10869" max="10869" width="6.7265625" style="80" customWidth="1"/>
    <col min="10870" max="10870" width="8" style="80" customWidth="1"/>
    <col min="10871" max="10871" width="6.81640625" style="80" bestFit="1" customWidth="1"/>
    <col min="10872" max="10872" width="4.81640625" style="80" bestFit="1" customWidth="1"/>
    <col min="10873" max="10874" width="6.26953125" style="80" bestFit="1" customWidth="1"/>
    <col min="10875" max="10876" width="6" style="80" bestFit="1" customWidth="1"/>
    <col min="10877" max="10877" width="4.7265625" style="80" bestFit="1" customWidth="1"/>
    <col min="10878" max="10881" width="5" style="80" bestFit="1" customWidth="1"/>
    <col min="10882" max="10882" width="4.7265625" style="80" bestFit="1" customWidth="1"/>
    <col min="10883" max="11113" width="8.81640625" style="80"/>
    <col min="11114" max="11114" width="12.26953125" style="80" customWidth="1"/>
    <col min="11115" max="11115" width="9" style="80" bestFit="1" customWidth="1"/>
    <col min="11116" max="11118" width="5.81640625" style="80" customWidth="1"/>
    <col min="11119" max="11119" width="6.1796875" style="80" customWidth="1"/>
    <col min="11120" max="11121" width="5.81640625" style="80" customWidth="1"/>
    <col min="11122" max="11122" width="6.453125" style="80" customWidth="1"/>
    <col min="11123" max="11123" width="9" style="80" bestFit="1" customWidth="1"/>
    <col min="11124" max="11124" width="6.453125" style="80" customWidth="1"/>
    <col min="11125" max="11125" width="6.7265625" style="80" customWidth="1"/>
    <col min="11126" max="11126" width="8" style="80" customWidth="1"/>
    <col min="11127" max="11127" width="6.81640625" style="80" bestFit="1" customWidth="1"/>
    <col min="11128" max="11128" width="4.81640625" style="80" bestFit="1" customWidth="1"/>
    <col min="11129" max="11130" width="6.26953125" style="80" bestFit="1" customWidth="1"/>
    <col min="11131" max="11132" width="6" style="80" bestFit="1" customWidth="1"/>
    <col min="11133" max="11133" width="4.7265625" style="80" bestFit="1" customWidth="1"/>
    <col min="11134" max="11137" width="5" style="80" bestFit="1" customWidth="1"/>
    <col min="11138" max="11138" width="4.7265625" style="80" bestFit="1" customWidth="1"/>
    <col min="11139" max="11369" width="8.81640625" style="80"/>
    <col min="11370" max="11370" width="12.26953125" style="80" customWidth="1"/>
    <col min="11371" max="11371" width="9" style="80" bestFit="1" customWidth="1"/>
    <col min="11372" max="11374" width="5.81640625" style="80" customWidth="1"/>
    <col min="11375" max="11375" width="6.1796875" style="80" customWidth="1"/>
    <col min="11376" max="11377" width="5.81640625" style="80" customWidth="1"/>
    <col min="11378" max="11378" width="6.453125" style="80" customWidth="1"/>
    <col min="11379" max="11379" width="9" style="80" bestFit="1" customWidth="1"/>
    <col min="11380" max="11380" width="6.453125" style="80" customWidth="1"/>
    <col min="11381" max="11381" width="6.7265625" style="80" customWidth="1"/>
    <col min="11382" max="11382" width="8" style="80" customWidth="1"/>
    <col min="11383" max="11383" width="6.81640625" style="80" bestFit="1" customWidth="1"/>
    <col min="11384" max="11384" width="4.81640625" style="80" bestFit="1" customWidth="1"/>
    <col min="11385" max="11386" width="6.26953125" style="80" bestFit="1" customWidth="1"/>
    <col min="11387" max="11388" width="6" style="80" bestFit="1" customWidth="1"/>
    <col min="11389" max="11389" width="4.7265625" style="80" bestFit="1" customWidth="1"/>
    <col min="11390" max="11393" width="5" style="80" bestFit="1" customWidth="1"/>
    <col min="11394" max="11394" width="4.7265625" style="80" bestFit="1" customWidth="1"/>
    <col min="11395" max="11625" width="8.81640625" style="80"/>
    <col min="11626" max="11626" width="12.26953125" style="80" customWidth="1"/>
    <col min="11627" max="11627" width="9" style="80" bestFit="1" customWidth="1"/>
    <col min="11628" max="11630" width="5.81640625" style="80" customWidth="1"/>
    <col min="11631" max="11631" width="6.1796875" style="80" customWidth="1"/>
    <col min="11632" max="11633" width="5.81640625" style="80" customWidth="1"/>
    <col min="11634" max="11634" width="6.453125" style="80" customWidth="1"/>
    <col min="11635" max="11635" width="9" style="80" bestFit="1" customWidth="1"/>
    <col min="11636" max="11636" width="6.453125" style="80" customWidth="1"/>
    <col min="11637" max="11637" width="6.7265625" style="80" customWidth="1"/>
    <col min="11638" max="11638" width="8" style="80" customWidth="1"/>
    <col min="11639" max="11639" width="6.81640625" style="80" bestFit="1" customWidth="1"/>
    <col min="11640" max="11640" width="4.81640625" style="80" bestFit="1" customWidth="1"/>
    <col min="11641" max="11642" width="6.26953125" style="80" bestFit="1" customWidth="1"/>
    <col min="11643" max="11644" width="6" style="80" bestFit="1" customWidth="1"/>
    <col min="11645" max="11645" width="4.7265625" style="80" bestFit="1" customWidth="1"/>
    <col min="11646" max="11649" width="5" style="80" bestFit="1" customWidth="1"/>
    <col min="11650" max="11650" width="4.7265625" style="80" bestFit="1" customWidth="1"/>
    <col min="11651" max="11881" width="8.81640625" style="80"/>
    <col min="11882" max="11882" width="12.26953125" style="80" customWidth="1"/>
    <col min="11883" max="11883" width="9" style="80" bestFit="1" customWidth="1"/>
    <col min="11884" max="11886" width="5.81640625" style="80" customWidth="1"/>
    <col min="11887" max="11887" width="6.1796875" style="80" customWidth="1"/>
    <col min="11888" max="11889" width="5.81640625" style="80" customWidth="1"/>
    <col min="11890" max="11890" width="6.453125" style="80" customWidth="1"/>
    <col min="11891" max="11891" width="9" style="80" bestFit="1" customWidth="1"/>
    <col min="11892" max="11892" width="6.453125" style="80" customWidth="1"/>
    <col min="11893" max="11893" width="6.7265625" style="80" customWidth="1"/>
    <col min="11894" max="11894" width="8" style="80" customWidth="1"/>
    <col min="11895" max="11895" width="6.81640625" style="80" bestFit="1" customWidth="1"/>
    <col min="11896" max="11896" width="4.81640625" style="80" bestFit="1" customWidth="1"/>
    <col min="11897" max="11898" width="6.26953125" style="80" bestFit="1" customWidth="1"/>
    <col min="11899" max="11900" width="6" style="80" bestFit="1" customWidth="1"/>
    <col min="11901" max="11901" width="4.7265625" style="80" bestFit="1" customWidth="1"/>
    <col min="11902" max="11905" width="5" style="80" bestFit="1" customWidth="1"/>
    <col min="11906" max="11906" width="4.7265625" style="80" bestFit="1" customWidth="1"/>
    <col min="11907" max="12137" width="8.81640625" style="80"/>
    <col min="12138" max="12138" width="12.26953125" style="80" customWidth="1"/>
    <col min="12139" max="12139" width="9" style="80" bestFit="1" customWidth="1"/>
    <col min="12140" max="12142" width="5.81640625" style="80" customWidth="1"/>
    <col min="12143" max="12143" width="6.1796875" style="80" customWidth="1"/>
    <col min="12144" max="12145" width="5.81640625" style="80" customWidth="1"/>
    <col min="12146" max="12146" width="6.453125" style="80" customWidth="1"/>
    <col min="12147" max="12147" width="9" style="80" bestFit="1" customWidth="1"/>
    <col min="12148" max="12148" width="6.453125" style="80" customWidth="1"/>
    <col min="12149" max="12149" width="6.7265625" style="80" customWidth="1"/>
    <col min="12150" max="12150" width="8" style="80" customWidth="1"/>
    <col min="12151" max="12151" width="6.81640625" style="80" bestFit="1" customWidth="1"/>
    <col min="12152" max="12152" width="4.81640625" style="80" bestFit="1" customWidth="1"/>
    <col min="12153" max="12154" width="6.26953125" style="80" bestFit="1" customWidth="1"/>
    <col min="12155" max="12156" width="6" style="80" bestFit="1" customWidth="1"/>
    <col min="12157" max="12157" width="4.7265625" style="80" bestFit="1" customWidth="1"/>
    <col min="12158" max="12161" width="5" style="80" bestFit="1" customWidth="1"/>
    <col min="12162" max="12162" width="4.7265625" style="80" bestFit="1" customWidth="1"/>
    <col min="12163" max="12393" width="8.81640625" style="80"/>
    <col min="12394" max="12394" width="12.26953125" style="80" customWidth="1"/>
    <col min="12395" max="12395" width="9" style="80" bestFit="1" customWidth="1"/>
    <col min="12396" max="12398" width="5.81640625" style="80" customWidth="1"/>
    <col min="12399" max="12399" width="6.1796875" style="80" customWidth="1"/>
    <col min="12400" max="12401" width="5.81640625" style="80" customWidth="1"/>
    <col min="12402" max="12402" width="6.453125" style="80" customWidth="1"/>
    <col min="12403" max="12403" width="9" style="80" bestFit="1" customWidth="1"/>
    <col min="12404" max="12404" width="6.453125" style="80" customWidth="1"/>
    <col min="12405" max="12405" width="6.7265625" style="80" customWidth="1"/>
    <col min="12406" max="12406" width="8" style="80" customWidth="1"/>
    <col min="12407" max="12407" width="6.81640625" style="80" bestFit="1" customWidth="1"/>
    <col min="12408" max="12408" width="4.81640625" style="80" bestFit="1" customWidth="1"/>
    <col min="12409" max="12410" width="6.26953125" style="80" bestFit="1" customWidth="1"/>
    <col min="12411" max="12412" width="6" style="80" bestFit="1" customWidth="1"/>
    <col min="12413" max="12413" width="4.7265625" style="80" bestFit="1" customWidth="1"/>
    <col min="12414" max="12417" width="5" style="80" bestFit="1" customWidth="1"/>
    <col min="12418" max="12418" width="4.7265625" style="80" bestFit="1" customWidth="1"/>
    <col min="12419" max="12649" width="8.81640625" style="80"/>
    <col min="12650" max="12650" width="12.26953125" style="80" customWidth="1"/>
    <col min="12651" max="12651" width="9" style="80" bestFit="1" customWidth="1"/>
    <col min="12652" max="12654" width="5.81640625" style="80" customWidth="1"/>
    <col min="12655" max="12655" width="6.1796875" style="80" customWidth="1"/>
    <col min="12656" max="12657" width="5.81640625" style="80" customWidth="1"/>
    <col min="12658" max="12658" width="6.453125" style="80" customWidth="1"/>
    <col min="12659" max="12659" width="9" style="80" bestFit="1" customWidth="1"/>
    <col min="12660" max="12660" width="6.453125" style="80" customWidth="1"/>
    <col min="12661" max="12661" width="6.7265625" style="80" customWidth="1"/>
    <col min="12662" max="12662" width="8" style="80" customWidth="1"/>
    <col min="12663" max="12663" width="6.81640625" style="80" bestFit="1" customWidth="1"/>
    <col min="12664" max="12664" width="4.81640625" style="80" bestFit="1" customWidth="1"/>
    <col min="12665" max="12666" width="6.26953125" style="80" bestFit="1" customWidth="1"/>
    <col min="12667" max="12668" width="6" style="80" bestFit="1" customWidth="1"/>
    <col min="12669" max="12669" width="4.7265625" style="80" bestFit="1" customWidth="1"/>
    <col min="12670" max="12673" width="5" style="80" bestFit="1" customWidth="1"/>
    <col min="12674" max="12674" width="4.7265625" style="80" bestFit="1" customWidth="1"/>
    <col min="12675" max="12905" width="8.81640625" style="80"/>
    <col min="12906" max="12906" width="12.26953125" style="80" customWidth="1"/>
    <col min="12907" max="12907" width="9" style="80" bestFit="1" customWidth="1"/>
    <col min="12908" max="12910" width="5.81640625" style="80" customWidth="1"/>
    <col min="12911" max="12911" width="6.1796875" style="80" customWidth="1"/>
    <col min="12912" max="12913" width="5.81640625" style="80" customWidth="1"/>
    <col min="12914" max="12914" width="6.453125" style="80" customWidth="1"/>
    <col min="12915" max="12915" width="9" style="80" bestFit="1" customWidth="1"/>
    <col min="12916" max="12916" width="6.453125" style="80" customWidth="1"/>
    <col min="12917" max="12917" width="6.7265625" style="80" customWidth="1"/>
    <col min="12918" max="12918" width="8" style="80" customWidth="1"/>
    <col min="12919" max="12919" width="6.81640625" style="80" bestFit="1" customWidth="1"/>
    <col min="12920" max="12920" width="4.81640625" style="80" bestFit="1" customWidth="1"/>
    <col min="12921" max="12922" width="6.26953125" style="80" bestFit="1" customWidth="1"/>
    <col min="12923" max="12924" width="6" style="80" bestFit="1" customWidth="1"/>
    <col min="12925" max="12925" width="4.7265625" style="80" bestFit="1" customWidth="1"/>
    <col min="12926" max="12929" width="5" style="80" bestFit="1" customWidth="1"/>
    <col min="12930" max="12930" width="4.7265625" style="80" bestFit="1" customWidth="1"/>
    <col min="12931" max="13161" width="8.81640625" style="80"/>
    <col min="13162" max="13162" width="12.26953125" style="80" customWidth="1"/>
    <col min="13163" max="13163" width="9" style="80" bestFit="1" customWidth="1"/>
    <col min="13164" max="13166" width="5.81640625" style="80" customWidth="1"/>
    <col min="13167" max="13167" width="6.1796875" style="80" customWidth="1"/>
    <col min="13168" max="13169" width="5.81640625" style="80" customWidth="1"/>
    <col min="13170" max="13170" width="6.453125" style="80" customWidth="1"/>
    <col min="13171" max="13171" width="9" style="80" bestFit="1" customWidth="1"/>
    <col min="13172" max="13172" width="6.453125" style="80" customWidth="1"/>
    <col min="13173" max="13173" width="6.7265625" style="80" customWidth="1"/>
    <col min="13174" max="13174" width="8" style="80" customWidth="1"/>
    <col min="13175" max="13175" width="6.81640625" style="80" bestFit="1" customWidth="1"/>
    <col min="13176" max="13176" width="4.81640625" style="80" bestFit="1" customWidth="1"/>
    <col min="13177" max="13178" width="6.26953125" style="80" bestFit="1" customWidth="1"/>
    <col min="13179" max="13180" width="6" style="80" bestFit="1" customWidth="1"/>
    <col min="13181" max="13181" width="4.7265625" style="80" bestFit="1" customWidth="1"/>
    <col min="13182" max="13185" width="5" style="80" bestFit="1" customWidth="1"/>
    <col min="13186" max="13186" width="4.7265625" style="80" bestFit="1" customWidth="1"/>
    <col min="13187" max="13417" width="8.81640625" style="80"/>
    <col min="13418" max="13418" width="12.26953125" style="80" customWidth="1"/>
    <col min="13419" max="13419" width="9" style="80" bestFit="1" customWidth="1"/>
    <col min="13420" max="13422" width="5.81640625" style="80" customWidth="1"/>
    <col min="13423" max="13423" width="6.1796875" style="80" customWidth="1"/>
    <col min="13424" max="13425" width="5.81640625" style="80" customWidth="1"/>
    <col min="13426" max="13426" width="6.453125" style="80" customWidth="1"/>
    <col min="13427" max="13427" width="9" style="80" bestFit="1" customWidth="1"/>
    <col min="13428" max="13428" width="6.453125" style="80" customWidth="1"/>
    <col min="13429" max="13429" width="6.7265625" style="80" customWidth="1"/>
    <col min="13430" max="13430" width="8" style="80" customWidth="1"/>
    <col min="13431" max="13431" width="6.81640625" style="80" bestFit="1" customWidth="1"/>
    <col min="13432" max="13432" width="4.81640625" style="80" bestFit="1" customWidth="1"/>
    <col min="13433" max="13434" width="6.26953125" style="80" bestFit="1" customWidth="1"/>
    <col min="13435" max="13436" width="6" style="80" bestFit="1" customWidth="1"/>
    <col min="13437" max="13437" width="4.7265625" style="80" bestFit="1" customWidth="1"/>
    <col min="13438" max="13441" width="5" style="80" bestFit="1" customWidth="1"/>
    <col min="13442" max="13442" width="4.7265625" style="80" bestFit="1" customWidth="1"/>
    <col min="13443" max="13673" width="8.81640625" style="80"/>
    <col min="13674" max="13674" width="12.26953125" style="80" customWidth="1"/>
    <col min="13675" max="13675" width="9" style="80" bestFit="1" customWidth="1"/>
    <col min="13676" max="13678" width="5.81640625" style="80" customWidth="1"/>
    <col min="13679" max="13679" width="6.1796875" style="80" customWidth="1"/>
    <col min="13680" max="13681" width="5.81640625" style="80" customWidth="1"/>
    <col min="13682" max="13682" width="6.453125" style="80" customWidth="1"/>
    <col min="13683" max="13683" width="9" style="80" bestFit="1" customWidth="1"/>
    <col min="13684" max="13684" width="6.453125" style="80" customWidth="1"/>
    <col min="13685" max="13685" width="6.7265625" style="80" customWidth="1"/>
    <col min="13686" max="13686" width="8" style="80" customWidth="1"/>
    <col min="13687" max="13687" width="6.81640625" style="80" bestFit="1" customWidth="1"/>
    <col min="13688" max="13688" width="4.81640625" style="80" bestFit="1" customWidth="1"/>
    <col min="13689" max="13690" width="6.26953125" style="80" bestFit="1" customWidth="1"/>
    <col min="13691" max="13692" width="6" style="80" bestFit="1" customWidth="1"/>
    <col min="13693" max="13693" width="4.7265625" style="80" bestFit="1" customWidth="1"/>
    <col min="13694" max="13697" width="5" style="80" bestFit="1" customWidth="1"/>
    <col min="13698" max="13698" width="4.7265625" style="80" bestFit="1" customWidth="1"/>
    <col min="13699" max="13929" width="8.81640625" style="80"/>
    <col min="13930" max="13930" width="12.26953125" style="80" customWidth="1"/>
    <col min="13931" max="13931" width="9" style="80" bestFit="1" customWidth="1"/>
    <col min="13932" max="13934" width="5.81640625" style="80" customWidth="1"/>
    <col min="13935" max="13935" width="6.1796875" style="80" customWidth="1"/>
    <col min="13936" max="13937" width="5.81640625" style="80" customWidth="1"/>
    <col min="13938" max="13938" width="6.453125" style="80" customWidth="1"/>
    <col min="13939" max="13939" width="9" style="80" bestFit="1" customWidth="1"/>
    <col min="13940" max="13940" width="6.453125" style="80" customWidth="1"/>
    <col min="13941" max="13941" width="6.7265625" style="80" customWidth="1"/>
    <col min="13942" max="13942" width="8" style="80" customWidth="1"/>
    <col min="13943" max="13943" width="6.81640625" style="80" bestFit="1" customWidth="1"/>
    <col min="13944" max="13944" width="4.81640625" style="80" bestFit="1" customWidth="1"/>
    <col min="13945" max="13946" width="6.26953125" style="80" bestFit="1" customWidth="1"/>
    <col min="13947" max="13948" width="6" style="80" bestFit="1" customWidth="1"/>
    <col min="13949" max="13949" width="4.7265625" style="80" bestFit="1" customWidth="1"/>
    <col min="13950" max="13953" width="5" style="80" bestFit="1" customWidth="1"/>
    <col min="13954" max="13954" width="4.7265625" style="80" bestFit="1" customWidth="1"/>
    <col min="13955" max="14185" width="8.81640625" style="80"/>
    <col min="14186" max="14186" width="12.26953125" style="80" customWidth="1"/>
    <col min="14187" max="14187" width="9" style="80" bestFit="1" customWidth="1"/>
    <col min="14188" max="14190" width="5.81640625" style="80" customWidth="1"/>
    <col min="14191" max="14191" width="6.1796875" style="80" customWidth="1"/>
    <col min="14192" max="14193" width="5.81640625" style="80" customWidth="1"/>
    <col min="14194" max="14194" width="6.453125" style="80" customWidth="1"/>
    <col min="14195" max="14195" width="9" style="80" bestFit="1" customWidth="1"/>
    <col min="14196" max="14196" width="6.453125" style="80" customWidth="1"/>
    <col min="14197" max="14197" width="6.7265625" style="80" customWidth="1"/>
    <col min="14198" max="14198" width="8" style="80" customWidth="1"/>
    <col min="14199" max="14199" width="6.81640625" style="80" bestFit="1" customWidth="1"/>
    <col min="14200" max="14200" width="4.81640625" style="80" bestFit="1" customWidth="1"/>
    <col min="14201" max="14202" width="6.26953125" style="80" bestFit="1" customWidth="1"/>
    <col min="14203" max="14204" width="6" style="80" bestFit="1" customWidth="1"/>
    <col min="14205" max="14205" width="4.7265625" style="80" bestFit="1" customWidth="1"/>
    <col min="14206" max="14209" width="5" style="80" bestFit="1" customWidth="1"/>
    <col min="14210" max="14210" width="4.7265625" style="80" bestFit="1" customWidth="1"/>
    <col min="14211" max="14441" width="8.81640625" style="80"/>
    <col min="14442" max="14442" width="12.26953125" style="80" customWidth="1"/>
    <col min="14443" max="14443" width="9" style="80" bestFit="1" customWidth="1"/>
    <col min="14444" max="14446" width="5.81640625" style="80" customWidth="1"/>
    <col min="14447" max="14447" width="6.1796875" style="80" customWidth="1"/>
    <col min="14448" max="14449" width="5.81640625" style="80" customWidth="1"/>
    <col min="14450" max="14450" width="6.453125" style="80" customWidth="1"/>
    <col min="14451" max="14451" width="9" style="80" bestFit="1" customWidth="1"/>
    <col min="14452" max="14452" width="6.453125" style="80" customWidth="1"/>
    <col min="14453" max="14453" width="6.7265625" style="80" customWidth="1"/>
    <col min="14454" max="14454" width="8" style="80" customWidth="1"/>
    <col min="14455" max="14455" width="6.81640625" style="80" bestFit="1" customWidth="1"/>
    <col min="14456" max="14456" width="4.81640625" style="80" bestFit="1" customWidth="1"/>
    <col min="14457" max="14458" width="6.26953125" style="80" bestFit="1" customWidth="1"/>
    <col min="14459" max="14460" width="6" style="80" bestFit="1" customWidth="1"/>
    <col min="14461" max="14461" width="4.7265625" style="80" bestFit="1" customWidth="1"/>
    <col min="14462" max="14465" width="5" style="80" bestFit="1" customWidth="1"/>
    <col min="14466" max="14466" width="4.7265625" style="80" bestFit="1" customWidth="1"/>
    <col min="14467" max="14697" width="8.81640625" style="80"/>
    <col min="14698" max="14698" width="12.26953125" style="80" customWidth="1"/>
    <col min="14699" max="14699" width="9" style="80" bestFit="1" customWidth="1"/>
    <col min="14700" max="14702" width="5.81640625" style="80" customWidth="1"/>
    <col min="14703" max="14703" width="6.1796875" style="80" customWidth="1"/>
    <col min="14704" max="14705" width="5.81640625" style="80" customWidth="1"/>
    <col min="14706" max="14706" width="6.453125" style="80" customWidth="1"/>
    <col min="14707" max="14707" width="9" style="80" bestFit="1" customWidth="1"/>
    <col min="14708" max="14708" width="6.453125" style="80" customWidth="1"/>
    <col min="14709" max="14709" width="6.7265625" style="80" customWidth="1"/>
    <col min="14710" max="14710" width="8" style="80" customWidth="1"/>
    <col min="14711" max="14711" width="6.81640625" style="80" bestFit="1" customWidth="1"/>
    <col min="14712" max="14712" width="4.81640625" style="80" bestFit="1" customWidth="1"/>
    <col min="14713" max="14714" width="6.26953125" style="80" bestFit="1" customWidth="1"/>
    <col min="14715" max="14716" width="6" style="80" bestFit="1" customWidth="1"/>
    <col min="14717" max="14717" width="4.7265625" style="80" bestFit="1" customWidth="1"/>
    <col min="14718" max="14721" width="5" style="80" bestFit="1" customWidth="1"/>
    <col min="14722" max="14722" width="4.7265625" style="80" bestFit="1" customWidth="1"/>
    <col min="14723" max="14953" width="8.81640625" style="80"/>
    <col min="14954" max="14954" width="12.26953125" style="80" customWidth="1"/>
    <col min="14955" max="14955" width="9" style="80" bestFit="1" customWidth="1"/>
    <col min="14956" max="14958" width="5.81640625" style="80" customWidth="1"/>
    <col min="14959" max="14959" width="6.1796875" style="80" customWidth="1"/>
    <col min="14960" max="14961" width="5.81640625" style="80" customWidth="1"/>
    <col min="14962" max="14962" width="6.453125" style="80" customWidth="1"/>
    <col min="14963" max="14963" width="9" style="80" bestFit="1" customWidth="1"/>
    <col min="14964" max="14964" width="6.453125" style="80" customWidth="1"/>
    <col min="14965" max="14965" width="6.7265625" style="80" customWidth="1"/>
    <col min="14966" max="14966" width="8" style="80" customWidth="1"/>
    <col min="14967" max="14967" width="6.81640625" style="80" bestFit="1" customWidth="1"/>
    <col min="14968" max="14968" width="4.81640625" style="80" bestFit="1" customWidth="1"/>
    <col min="14969" max="14970" width="6.26953125" style="80" bestFit="1" customWidth="1"/>
    <col min="14971" max="14972" width="6" style="80" bestFit="1" customWidth="1"/>
    <col min="14973" max="14973" width="4.7265625" style="80" bestFit="1" customWidth="1"/>
    <col min="14974" max="14977" width="5" style="80" bestFit="1" customWidth="1"/>
    <col min="14978" max="14978" width="4.7265625" style="80" bestFit="1" customWidth="1"/>
    <col min="14979" max="15209" width="8.81640625" style="80"/>
    <col min="15210" max="15210" width="12.26953125" style="80" customWidth="1"/>
    <col min="15211" max="15211" width="9" style="80" bestFit="1" customWidth="1"/>
    <col min="15212" max="15214" width="5.81640625" style="80" customWidth="1"/>
    <col min="15215" max="15215" width="6.1796875" style="80" customWidth="1"/>
    <col min="15216" max="15217" width="5.81640625" style="80" customWidth="1"/>
    <col min="15218" max="15218" width="6.453125" style="80" customWidth="1"/>
    <col min="15219" max="15219" width="9" style="80" bestFit="1" customWidth="1"/>
    <col min="15220" max="15220" width="6.453125" style="80" customWidth="1"/>
    <col min="15221" max="15221" width="6.7265625" style="80" customWidth="1"/>
    <col min="15222" max="15222" width="8" style="80" customWidth="1"/>
    <col min="15223" max="15223" width="6.81640625" style="80" bestFit="1" customWidth="1"/>
    <col min="15224" max="15224" width="4.81640625" style="80" bestFit="1" customWidth="1"/>
    <col min="15225" max="15226" width="6.26953125" style="80" bestFit="1" customWidth="1"/>
    <col min="15227" max="15228" width="6" style="80" bestFit="1" customWidth="1"/>
    <col min="15229" max="15229" width="4.7265625" style="80" bestFit="1" customWidth="1"/>
    <col min="15230" max="15233" width="5" style="80" bestFit="1" customWidth="1"/>
    <col min="15234" max="15234" width="4.7265625" style="80" bestFit="1" customWidth="1"/>
    <col min="15235" max="15465" width="8.81640625" style="80"/>
    <col min="15466" max="15466" width="12.26953125" style="80" customWidth="1"/>
    <col min="15467" max="15467" width="9" style="80" bestFit="1" customWidth="1"/>
    <col min="15468" max="15470" width="5.81640625" style="80" customWidth="1"/>
    <col min="15471" max="15471" width="6.1796875" style="80" customWidth="1"/>
    <col min="15472" max="15473" width="5.81640625" style="80" customWidth="1"/>
    <col min="15474" max="15474" width="6.453125" style="80" customWidth="1"/>
    <col min="15475" max="15475" width="9" style="80" bestFit="1" customWidth="1"/>
    <col min="15476" max="15476" width="6.453125" style="80" customWidth="1"/>
    <col min="15477" max="15477" width="6.7265625" style="80" customWidth="1"/>
    <col min="15478" max="15478" width="8" style="80" customWidth="1"/>
    <col min="15479" max="15479" width="6.81640625" style="80" bestFit="1" customWidth="1"/>
    <col min="15480" max="15480" width="4.81640625" style="80" bestFit="1" customWidth="1"/>
    <col min="15481" max="15482" width="6.26953125" style="80" bestFit="1" customWidth="1"/>
    <col min="15483" max="15484" width="6" style="80" bestFit="1" customWidth="1"/>
    <col min="15485" max="15485" width="4.7265625" style="80" bestFit="1" customWidth="1"/>
    <col min="15486" max="15489" width="5" style="80" bestFit="1" customWidth="1"/>
    <col min="15490" max="15490" width="4.7265625" style="80" bestFit="1" customWidth="1"/>
    <col min="15491" max="15721" width="8.81640625" style="80"/>
    <col min="15722" max="15722" width="12.26953125" style="80" customWidth="1"/>
    <col min="15723" max="15723" width="9" style="80" bestFit="1" customWidth="1"/>
    <col min="15724" max="15726" width="5.81640625" style="80" customWidth="1"/>
    <col min="15727" max="15727" width="6.1796875" style="80" customWidth="1"/>
    <col min="15728" max="15729" width="5.81640625" style="80" customWidth="1"/>
    <col min="15730" max="15730" width="6.453125" style="80" customWidth="1"/>
    <col min="15731" max="15731" width="9" style="80" bestFit="1" customWidth="1"/>
    <col min="15732" max="15732" width="6.453125" style="80" customWidth="1"/>
    <col min="15733" max="15733" width="6.7265625" style="80" customWidth="1"/>
    <col min="15734" max="15734" width="8" style="80" customWidth="1"/>
    <col min="15735" max="15735" width="6.81640625" style="80" bestFit="1" customWidth="1"/>
    <col min="15736" max="15736" width="4.81640625" style="80" bestFit="1" customWidth="1"/>
    <col min="15737" max="15738" width="6.26953125" style="80" bestFit="1" customWidth="1"/>
    <col min="15739" max="15740" width="6" style="80" bestFit="1" customWidth="1"/>
    <col min="15741" max="15741" width="4.7265625" style="80" bestFit="1" customWidth="1"/>
    <col min="15742" max="15745" width="5" style="80" bestFit="1" customWidth="1"/>
    <col min="15746" max="15746" width="4.7265625" style="80" bestFit="1" customWidth="1"/>
    <col min="15747" max="15977" width="8.81640625" style="80"/>
    <col min="15978" max="15978" width="12.26953125" style="80" customWidth="1"/>
    <col min="15979" max="15979" width="9" style="80" bestFit="1" customWidth="1"/>
    <col min="15980" max="15982" width="5.81640625" style="80" customWidth="1"/>
    <col min="15983" max="15983" width="6.1796875" style="80" customWidth="1"/>
    <col min="15984" max="15985" width="5.81640625" style="80" customWidth="1"/>
    <col min="15986" max="15986" width="6.453125" style="80" customWidth="1"/>
    <col min="15987" max="15987" width="9" style="80" bestFit="1" customWidth="1"/>
    <col min="15988" max="15988" width="6.453125" style="80" customWidth="1"/>
    <col min="15989" max="15989" width="6.7265625" style="80" customWidth="1"/>
    <col min="15990" max="15990" width="8" style="80" customWidth="1"/>
    <col min="15991" max="15991" width="6.81640625" style="80" bestFit="1" customWidth="1"/>
    <col min="15992" max="15992" width="4.81640625" style="80" bestFit="1" customWidth="1"/>
    <col min="15993" max="15994" width="6.26953125" style="80" bestFit="1" customWidth="1"/>
    <col min="15995" max="15996" width="6" style="80" bestFit="1" customWidth="1"/>
    <col min="15997" max="15997" width="4.7265625" style="80" bestFit="1" customWidth="1"/>
    <col min="15998" max="16001" width="5" style="80" bestFit="1" customWidth="1"/>
    <col min="16002" max="16002" width="4.7265625" style="80" bestFit="1" customWidth="1"/>
    <col min="16003" max="16384" width="8.81640625" style="80"/>
  </cols>
  <sheetData>
    <row r="1" spans="1:14" ht="12" customHeight="1"/>
    <row r="2" spans="1:14" ht="12" customHeight="1"/>
    <row r="3" spans="1:14" customFormat="1" ht="12" customHeight="1"/>
    <row r="4" spans="1:14" customFormat="1" ht="12" customHeight="1">
      <c r="A4" s="158" t="s">
        <v>18</v>
      </c>
    </row>
    <row r="5" spans="1:14" s="159" customFormat="1" ht="12" customHeight="1">
      <c r="A5" s="654" t="s">
        <v>19</v>
      </c>
      <c r="B5" s="654"/>
      <c r="C5" s="654"/>
      <c r="D5" s="654"/>
      <c r="E5" s="654"/>
      <c r="F5" s="654"/>
      <c r="G5" s="654"/>
      <c r="H5" s="654"/>
      <c r="I5" s="654"/>
      <c r="J5" s="654"/>
      <c r="K5" s="654"/>
      <c r="L5" s="654"/>
      <c r="M5" s="654"/>
      <c r="N5" s="495"/>
    </row>
    <row r="6" spans="1:14" s="159" customFormat="1" ht="12" customHeight="1">
      <c r="A6" s="284" t="s">
        <v>3</v>
      </c>
    </row>
    <row r="7" spans="1:14" s="226" customFormat="1" ht="6" customHeight="1"/>
    <row r="8" spans="1:14" ht="12" customHeight="1">
      <c r="A8" s="609" t="s">
        <v>272</v>
      </c>
      <c r="B8" s="655" t="s">
        <v>58</v>
      </c>
      <c r="C8" s="611" t="s">
        <v>273</v>
      </c>
      <c r="D8" s="611"/>
      <c r="E8" s="611"/>
      <c r="F8" s="611"/>
      <c r="G8" s="611"/>
      <c r="H8" s="611"/>
      <c r="I8" s="611"/>
      <c r="J8" s="611"/>
      <c r="K8" s="611"/>
      <c r="L8" s="611"/>
      <c r="M8" s="611"/>
      <c r="N8" s="575"/>
    </row>
    <row r="9" spans="1:14" ht="45" customHeight="1">
      <c r="A9" s="610"/>
      <c r="B9" s="656"/>
      <c r="C9" s="416" t="s">
        <v>274</v>
      </c>
      <c r="D9" s="417" t="s">
        <v>275</v>
      </c>
      <c r="E9" s="416" t="s">
        <v>276</v>
      </c>
      <c r="F9" s="416" t="s">
        <v>277</v>
      </c>
      <c r="G9" s="416" t="s">
        <v>278</v>
      </c>
      <c r="H9" s="416" t="s">
        <v>279</v>
      </c>
      <c r="I9" s="416" t="s">
        <v>280</v>
      </c>
      <c r="J9" s="416" t="s">
        <v>281</v>
      </c>
      <c r="K9" s="416" t="s">
        <v>282</v>
      </c>
      <c r="L9" s="416" t="s">
        <v>283</v>
      </c>
      <c r="M9" s="416" t="s">
        <v>284</v>
      </c>
      <c r="N9" s="417" t="s">
        <v>285</v>
      </c>
    </row>
    <row r="10" spans="1:14" ht="3" customHeight="1">
      <c r="A10" s="491"/>
      <c r="B10" s="78"/>
      <c r="C10" s="440"/>
      <c r="D10" s="440"/>
      <c r="E10" s="227"/>
      <c r="F10" s="227"/>
      <c r="G10" s="227"/>
      <c r="H10" s="227"/>
      <c r="I10" s="227"/>
      <c r="J10" s="227"/>
      <c r="K10" s="227"/>
      <c r="L10" s="227"/>
      <c r="M10" s="227"/>
    </row>
    <row r="11" spans="1:14" ht="9.75" customHeight="1">
      <c r="A11" s="491">
        <v>2020</v>
      </c>
      <c r="B11" s="227">
        <v>42049</v>
      </c>
      <c r="C11" s="227">
        <v>6656</v>
      </c>
      <c r="D11" s="227">
        <v>6274</v>
      </c>
      <c r="E11" s="227">
        <v>3475</v>
      </c>
      <c r="F11" s="227">
        <v>1968</v>
      </c>
      <c r="G11" s="227">
        <v>3333</v>
      </c>
      <c r="H11" s="227">
        <v>3189</v>
      </c>
      <c r="I11" s="227">
        <v>669</v>
      </c>
      <c r="J11" s="227">
        <v>2072</v>
      </c>
      <c r="K11" s="227">
        <v>614</v>
      </c>
      <c r="L11" s="227">
        <v>1142</v>
      </c>
      <c r="M11" s="227">
        <v>677</v>
      </c>
      <c r="N11" s="496" t="s">
        <v>228</v>
      </c>
    </row>
    <row r="12" spans="1:14" ht="9.75" customHeight="1">
      <c r="A12" s="491">
        <v>2021</v>
      </c>
      <c r="B12" s="227">
        <v>48107</v>
      </c>
      <c r="C12" s="227">
        <v>6939</v>
      </c>
      <c r="D12" s="227">
        <v>6858</v>
      </c>
      <c r="E12" s="227">
        <v>4505</v>
      </c>
      <c r="F12" s="227">
        <v>2141</v>
      </c>
      <c r="G12" s="227">
        <v>3769</v>
      </c>
      <c r="H12" s="227">
        <v>3243</v>
      </c>
      <c r="I12" s="227">
        <v>811</v>
      </c>
      <c r="J12" s="227">
        <v>2156</v>
      </c>
      <c r="K12" s="227">
        <v>847</v>
      </c>
      <c r="L12" s="227">
        <v>1386</v>
      </c>
      <c r="M12" s="227">
        <v>668</v>
      </c>
      <c r="N12" s="496" t="s">
        <v>228</v>
      </c>
    </row>
    <row r="13" spans="1:14" ht="9.75" customHeight="1">
      <c r="A13" s="491">
        <v>2022</v>
      </c>
      <c r="B13" s="227">
        <v>51554</v>
      </c>
      <c r="C13" s="227">
        <v>5402</v>
      </c>
      <c r="D13" s="227" t="s">
        <v>114</v>
      </c>
      <c r="E13" s="227">
        <v>3492</v>
      </c>
      <c r="F13" s="227">
        <v>1338</v>
      </c>
      <c r="G13" s="227">
        <v>5112</v>
      </c>
      <c r="H13" s="227">
        <v>2621</v>
      </c>
      <c r="I13" s="227">
        <v>1103</v>
      </c>
      <c r="J13" s="227">
        <v>803</v>
      </c>
      <c r="K13" s="227">
        <v>703</v>
      </c>
      <c r="L13" s="227">
        <v>2489</v>
      </c>
      <c r="M13" s="227">
        <v>607</v>
      </c>
      <c r="N13" s="80">
        <v>59</v>
      </c>
    </row>
    <row r="14" spans="1:14" ht="9.75" customHeight="1">
      <c r="A14" s="491">
        <v>2023</v>
      </c>
      <c r="B14" s="227">
        <v>50319</v>
      </c>
      <c r="C14" s="227">
        <v>5752</v>
      </c>
      <c r="D14" s="227" t="s">
        <v>114</v>
      </c>
      <c r="E14" s="227">
        <v>2597</v>
      </c>
      <c r="F14" s="227">
        <v>1164</v>
      </c>
      <c r="G14" s="227">
        <v>3560</v>
      </c>
      <c r="H14" s="227">
        <v>2659</v>
      </c>
      <c r="I14" s="227">
        <v>1186</v>
      </c>
      <c r="J14" s="227">
        <v>860</v>
      </c>
      <c r="K14" s="227">
        <v>768</v>
      </c>
      <c r="L14" s="227">
        <v>3258</v>
      </c>
      <c r="M14" s="227">
        <v>552</v>
      </c>
      <c r="N14" s="227">
        <v>411</v>
      </c>
    </row>
    <row r="15" spans="1:14" ht="9.75" customHeight="1">
      <c r="A15" s="491">
        <v>2024</v>
      </c>
      <c r="B15" s="227">
        <v>52492</v>
      </c>
      <c r="C15" s="227">
        <v>6237</v>
      </c>
      <c r="D15" s="227" t="s">
        <v>114</v>
      </c>
      <c r="E15" s="227">
        <v>3550</v>
      </c>
      <c r="F15" s="227">
        <v>1164</v>
      </c>
      <c r="G15" s="227">
        <v>8358</v>
      </c>
      <c r="H15" s="227">
        <v>2357</v>
      </c>
      <c r="I15" s="227">
        <v>1541</v>
      </c>
      <c r="J15" s="227">
        <v>961</v>
      </c>
      <c r="K15" s="227">
        <v>907</v>
      </c>
      <c r="L15" s="227">
        <v>1458</v>
      </c>
      <c r="M15" s="227">
        <v>573</v>
      </c>
      <c r="N15" s="227">
        <v>417</v>
      </c>
    </row>
    <row r="16" spans="1:14" ht="4.5" customHeight="1">
      <c r="B16" s="227"/>
      <c r="C16" s="227"/>
      <c r="D16" s="227"/>
      <c r="E16" s="227"/>
      <c r="F16" s="227"/>
      <c r="G16" s="227"/>
      <c r="H16" s="227"/>
      <c r="I16" s="227"/>
      <c r="J16" s="227"/>
      <c r="K16" s="227"/>
      <c r="L16" s="227"/>
      <c r="M16" s="227"/>
      <c r="N16" s="227"/>
    </row>
    <row r="17" spans="1:14" ht="12" customHeight="1">
      <c r="B17" s="613" t="s">
        <v>107</v>
      </c>
      <c r="C17" s="614"/>
      <c r="D17" s="614"/>
      <c r="E17" s="614"/>
      <c r="F17" s="614"/>
      <c r="G17" s="614"/>
      <c r="H17" s="614"/>
      <c r="I17" s="614"/>
      <c r="J17" s="614"/>
      <c r="K17" s="614"/>
      <c r="L17" s="614"/>
      <c r="M17" s="614"/>
    </row>
    <row r="18" spans="1:14" ht="4.5" customHeight="1">
      <c r="B18" s="77"/>
      <c r="C18" s="78"/>
      <c r="D18" s="82"/>
      <c r="E18" s="82"/>
      <c r="F18" s="78"/>
      <c r="G18" s="78"/>
      <c r="H18" s="78"/>
      <c r="I18" s="78"/>
      <c r="J18" s="78"/>
      <c r="K18" s="78"/>
      <c r="L18" s="78"/>
      <c r="M18" s="78"/>
    </row>
    <row r="19" spans="1:14" ht="12" customHeight="1">
      <c r="B19" s="614" t="s">
        <v>286</v>
      </c>
      <c r="C19" s="614"/>
      <c r="D19" s="614"/>
      <c r="E19" s="614"/>
      <c r="F19" s="614"/>
      <c r="G19" s="614"/>
      <c r="H19" s="614"/>
      <c r="I19" s="614"/>
      <c r="J19" s="614"/>
      <c r="K19" s="614"/>
      <c r="L19" s="614"/>
      <c r="M19" s="614"/>
    </row>
    <row r="20" spans="1:14" ht="4.5" customHeight="1"/>
    <row r="21" spans="1:14" ht="9.75" customHeight="1">
      <c r="A21" s="491" t="s">
        <v>226</v>
      </c>
      <c r="B21" s="227">
        <v>1967</v>
      </c>
      <c r="C21" s="227">
        <v>145</v>
      </c>
      <c r="D21" s="227" t="s">
        <v>114</v>
      </c>
      <c r="E21" s="227">
        <v>138</v>
      </c>
      <c r="F21" s="227">
        <v>28</v>
      </c>
      <c r="G21" s="227">
        <v>979</v>
      </c>
      <c r="H21" s="227">
        <v>88</v>
      </c>
      <c r="I21" s="227">
        <v>35</v>
      </c>
      <c r="J21" s="227">
        <v>44</v>
      </c>
      <c r="K21" s="227">
        <v>31</v>
      </c>
      <c r="L21" s="227">
        <v>12</v>
      </c>
      <c r="M21" s="227">
        <v>14</v>
      </c>
      <c r="N21" s="80">
        <v>6</v>
      </c>
    </row>
    <row r="22" spans="1:14" ht="18">
      <c r="A22" s="491" t="s">
        <v>287</v>
      </c>
      <c r="B22" s="227">
        <v>45</v>
      </c>
      <c r="C22" s="227">
        <v>11</v>
      </c>
      <c r="D22" s="227" t="s">
        <v>114</v>
      </c>
      <c r="E22" s="227">
        <v>3</v>
      </c>
      <c r="F22" s="227">
        <v>0</v>
      </c>
      <c r="G22" s="227">
        <v>7</v>
      </c>
      <c r="H22" s="227">
        <v>2</v>
      </c>
      <c r="I22" s="227">
        <v>3</v>
      </c>
      <c r="J22" s="227">
        <v>1</v>
      </c>
      <c r="K22" s="227">
        <v>0</v>
      </c>
      <c r="L22" s="227">
        <v>0</v>
      </c>
      <c r="M22" s="227">
        <v>0</v>
      </c>
      <c r="N22" s="227">
        <v>0</v>
      </c>
    </row>
    <row r="23" spans="1:14" ht="9.75" customHeight="1">
      <c r="A23" s="121" t="s">
        <v>288</v>
      </c>
      <c r="B23" s="227">
        <v>1203</v>
      </c>
      <c r="C23" s="227">
        <v>141</v>
      </c>
      <c r="D23" s="227" t="s">
        <v>114</v>
      </c>
      <c r="E23" s="227">
        <v>40</v>
      </c>
      <c r="F23" s="227">
        <v>30</v>
      </c>
      <c r="G23" s="227">
        <v>261</v>
      </c>
      <c r="H23" s="227">
        <v>46</v>
      </c>
      <c r="I23" s="227">
        <v>16</v>
      </c>
      <c r="J23" s="227">
        <v>23</v>
      </c>
      <c r="K23" s="227">
        <v>34</v>
      </c>
      <c r="L23" s="227">
        <v>8</v>
      </c>
      <c r="M23" s="227">
        <v>7</v>
      </c>
      <c r="N23" s="227">
        <v>2</v>
      </c>
    </row>
    <row r="24" spans="1:14" ht="9.75" customHeight="1">
      <c r="A24" s="491" t="s">
        <v>230</v>
      </c>
      <c r="B24" s="227">
        <v>4453</v>
      </c>
      <c r="C24" s="227">
        <v>643</v>
      </c>
      <c r="D24" s="227" t="s">
        <v>114</v>
      </c>
      <c r="E24" s="227">
        <v>820</v>
      </c>
      <c r="F24" s="227">
        <v>94</v>
      </c>
      <c r="G24" s="227">
        <v>804</v>
      </c>
      <c r="H24" s="227">
        <v>270</v>
      </c>
      <c r="I24" s="227">
        <v>102</v>
      </c>
      <c r="J24" s="227">
        <v>102</v>
      </c>
      <c r="K24" s="227">
        <v>62</v>
      </c>
      <c r="L24" s="227">
        <v>154</v>
      </c>
      <c r="M24" s="227">
        <v>25</v>
      </c>
      <c r="N24" s="80">
        <v>3</v>
      </c>
    </row>
    <row r="25" spans="1:14" ht="18">
      <c r="A25" s="491" t="s">
        <v>231</v>
      </c>
      <c r="B25" s="227">
        <v>514</v>
      </c>
      <c r="C25" s="227">
        <v>161</v>
      </c>
      <c r="D25" s="227" t="s">
        <v>114</v>
      </c>
      <c r="E25" s="227">
        <v>29</v>
      </c>
      <c r="F25" s="227">
        <v>31</v>
      </c>
      <c r="G25" s="227">
        <v>27</v>
      </c>
      <c r="H25" s="227">
        <v>37</v>
      </c>
      <c r="I25" s="227">
        <v>7</v>
      </c>
      <c r="J25" s="227">
        <v>19</v>
      </c>
      <c r="K25" s="227">
        <v>9</v>
      </c>
      <c r="L25" s="227">
        <v>8</v>
      </c>
      <c r="M25" s="227">
        <v>3</v>
      </c>
      <c r="N25" s="80">
        <v>4</v>
      </c>
    </row>
    <row r="26" spans="1:14" s="229" customFormat="1" ht="9">
      <c r="A26" s="415" t="s">
        <v>289</v>
      </c>
      <c r="B26" s="228">
        <v>319</v>
      </c>
      <c r="C26" s="228">
        <v>111</v>
      </c>
      <c r="D26" s="227" t="s">
        <v>114</v>
      </c>
      <c r="E26" s="228">
        <v>17</v>
      </c>
      <c r="F26" s="228">
        <v>21</v>
      </c>
      <c r="G26" s="228">
        <v>13</v>
      </c>
      <c r="H26" s="228">
        <v>21</v>
      </c>
      <c r="I26" s="228">
        <v>2</v>
      </c>
      <c r="J26" s="228">
        <v>12</v>
      </c>
      <c r="K26" s="228">
        <v>2</v>
      </c>
      <c r="L26" s="228">
        <v>7</v>
      </c>
      <c r="M26" s="228">
        <v>3</v>
      </c>
      <c r="N26" s="229">
        <v>4</v>
      </c>
    </row>
    <row r="27" spans="1:14" s="229" customFormat="1" ht="9.75" customHeight="1">
      <c r="A27" s="415" t="s">
        <v>290</v>
      </c>
      <c r="B27" s="228">
        <v>195</v>
      </c>
      <c r="C27" s="228">
        <v>50</v>
      </c>
      <c r="D27" s="227" t="s">
        <v>114</v>
      </c>
      <c r="E27" s="228">
        <v>12</v>
      </c>
      <c r="F27" s="228">
        <v>10</v>
      </c>
      <c r="G27" s="228">
        <v>14</v>
      </c>
      <c r="H27" s="228">
        <v>16</v>
      </c>
      <c r="I27" s="228">
        <v>5</v>
      </c>
      <c r="J27" s="228">
        <v>7</v>
      </c>
      <c r="K27" s="228">
        <v>7</v>
      </c>
      <c r="L27" s="228">
        <v>1</v>
      </c>
      <c r="M27" s="228">
        <v>0</v>
      </c>
      <c r="N27" s="228">
        <v>0</v>
      </c>
    </row>
    <row r="28" spans="1:14" ht="9.75" customHeight="1">
      <c r="A28" s="121" t="s">
        <v>233</v>
      </c>
      <c r="B28" s="227">
        <v>1610</v>
      </c>
      <c r="C28" s="227">
        <v>265</v>
      </c>
      <c r="D28" s="227" t="s">
        <v>114</v>
      </c>
      <c r="E28" s="227">
        <v>188</v>
      </c>
      <c r="F28" s="227">
        <v>56</v>
      </c>
      <c r="G28" s="227">
        <v>182</v>
      </c>
      <c r="H28" s="227">
        <v>102</v>
      </c>
      <c r="I28" s="227">
        <v>36</v>
      </c>
      <c r="J28" s="227">
        <v>76</v>
      </c>
      <c r="K28" s="227">
        <v>43</v>
      </c>
      <c r="L28" s="227">
        <v>24</v>
      </c>
      <c r="M28" s="227">
        <v>36</v>
      </c>
      <c r="N28" s="80">
        <v>10</v>
      </c>
    </row>
    <row r="29" spans="1:14" ht="9.75" customHeight="1">
      <c r="A29" s="121" t="s">
        <v>234</v>
      </c>
      <c r="B29" s="227">
        <v>455</v>
      </c>
      <c r="C29" s="227">
        <v>30</v>
      </c>
      <c r="D29" s="227" t="s">
        <v>114</v>
      </c>
      <c r="E29" s="227">
        <v>25</v>
      </c>
      <c r="F29" s="227">
        <v>13</v>
      </c>
      <c r="G29" s="227">
        <v>88</v>
      </c>
      <c r="H29" s="227">
        <v>39</v>
      </c>
      <c r="I29" s="227">
        <v>6</v>
      </c>
      <c r="J29" s="227">
        <v>9</v>
      </c>
      <c r="K29" s="227">
        <v>5</v>
      </c>
      <c r="L29" s="227">
        <v>4</v>
      </c>
      <c r="M29" s="227">
        <v>3</v>
      </c>
      <c r="N29" s="227">
        <v>3</v>
      </c>
    </row>
    <row r="30" spans="1:14" ht="9.75" customHeight="1">
      <c r="A30" s="121" t="s">
        <v>291</v>
      </c>
      <c r="B30" s="227">
        <v>1658</v>
      </c>
      <c r="C30" s="227">
        <v>163</v>
      </c>
      <c r="D30" s="227" t="s">
        <v>114</v>
      </c>
      <c r="E30" s="227">
        <v>321</v>
      </c>
      <c r="F30" s="227">
        <v>29</v>
      </c>
      <c r="G30" s="227">
        <v>405</v>
      </c>
      <c r="H30" s="227">
        <v>85</v>
      </c>
      <c r="I30" s="227">
        <v>38</v>
      </c>
      <c r="J30" s="227">
        <v>59</v>
      </c>
      <c r="K30" s="227">
        <v>28</v>
      </c>
      <c r="L30" s="227">
        <v>21</v>
      </c>
      <c r="M30" s="227">
        <v>21</v>
      </c>
      <c r="N30" s="80">
        <v>9</v>
      </c>
    </row>
    <row r="31" spans="1:14" ht="9.75" customHeight="1">
      <c r="A31" s="121" t="s">
        <v>236</v>
      </c>
      <c r="B31" s="227">
        <v>2216</v>
      </c>
      <c r="C31" s="227">
        <v>319</v>
      </c>
      <c r="D31" s="227" t="s">
        <v>114</v>
      </c>
      <c r="E31" s="227">
        <v>232</v>
      </c>
      <c r="F31" s="227">
        <v>87</v>
      </c>
      <c r="G31" s="227">
        <v>556</v>
      </c>
      <c r="H31" s="227">
        <v>88</v>
      </c>
      <c r="I31" s="227">
        <v>28</v>
      </c>
      <c r="J31" s="227">
        <v>69</v>
      </c>
      <c r="K31" s="227">
        <v>37</v>
      </c>
      <c r="L31" s="227">
        <v>20</v>
      </c>
      <c r="M31" s="227">
        <v>34</v>
      </c>
      <c r="N31" s="80">
        <v>19</v>
      </c>
    </row>
    <row r="32" spans="1:14" ht="9.75" customHeight="1">
      <c r="A32" s="121" t="s">
        <v>237</v>
      </c>
      <c r="B32" s="227">
        <v>719</v>
      </c>
      <c r="C32" s="227">
        <v>49</v>
      </c>
      <c r="D32" s="227" t="s">
        <v>114</v>
      </c>
      <c r="E32" s="227">
        <v>27</v>
      </c>
      <c r="F32" s="227">
        <v>19</v>
      </c>
      <c r="G32" s="227">
        <v>51</v>
      </c>
      <c r="H32" s="227">
        <v>29</v>
      </c>
      <c r="I32" s="227">
        <v>3</v>
      </c>
      <c r="J32" s="227">
        <v>4</v>
      </c>
      <c r="K32" s="227">
        <v>16</v>
      </c>
      <c r="L32" s="227">
        <v>1</v>
      </c>
      <c r="M32" s="227">
        <v>1</v>
      </c>
      <c r="N32" s="80">
        <v>12</v>
      </c>
    </row>
    <row r="33" spans="1:14" ht="9.75" customHeight="1">
      <c r="A33" s="121" t="s">
        <v>238</v>
      </c>
      <c r="B33" s="227">
        <v>603</v>
      </c>
      <c r="C33" s="227">
        <v>63</v>
      </c>
      <c r="D33" s="227" t="s">
        <v>114</v>
      </c>
      <c r="E33" s="227">
        <v>72</v>
      </c>
      <c r="F33" s="227">
        <v>15</v>
      </c>
      <c r="G33" s="227">
        <v>76</v>
      </c>
      <c r="H33" s="227">
        <v>48</v>
      </c>
      <c r="I33" s="227">
        <v>31</v>
      </c>
      <c r="J33" s="227">
        <v>23</v>
      </c>
      <c r="K33" s="227">
        <v>16</v>
      </c>
      <c r="L33" s="227">
        <v>12</v>
      </c>
      <c r="M33" s="227">
        <v>8</v>
      </c>
      <c r="N33" s="80">
        <v>3</v>
      </c>
    </row>
    <row r="34" spans="1:14" ht="9.75" customHeight="1">
      <c r="A34" s="121" t="s">
        <v>239</v>
      </c>
      <c r="B34" s="227">
        <v>15064</v>
      </c>
      <c r="C34" s="227">
        <v>737</v>
      </c>
      <c r="D34" s="227" t="s">
        <v>114</v>
      </c>
      <c r="E34" s="227">
        <v>840</v>
      </c>
      <c r="F34" s="227">
        <v>234</v>
      </c>
      <c r="G34" s="227">
        <v>3146</v>
      </c>
      <c r="H34" s="227">
        <v>457</v>
      </c>
      <c r="I34" s="227">
        <v>190</v>
      </c>
      <c r="J34" s="227">
        <v>133</v>
      </c>
      <c r="K34" s="227">
        <v>83</v>
      </c>
      <c r="L34" s="227">
        <v>423</v>
      </c>
      <c r="M34" s="227">
        <v>160</v>
      </c>
      <c r="N34" s="80">
        <v>259</v>
      </c>
    </row>
    <row r="35" spans="1:14" ht="9.75" customHeight="1">
      <c r="A35" s="121" t="s">
        <v>240</v>
      </c>
      <c r="B35" s="227">
        <v>920</v>
      </c>
      <c r="C35" s="227">
        <v>167</v>
      </c>
      <c r="D35" s="227" t="s">
        <v>114</v>
      </c>
      <c r="E35" s="227">
        <v>87</v>
      </c>
      <c r="F35" s="227">
        <v>22</v>
      </c>
      <c r="G35" s="227">
        <v>74</v>
      </c>
      <c r="H35" s="227">
        <v>51</v>
      </c>
      <c r="I35" s="227">
        <v>28</v>
      </c>
      <c r="J35" s="227">
        <v>23</v>
      </c>
      <c r="K35" s="227">
        <v>18</v>
      </c>
      <c r="L35" s="227">
        <v>30</v>
      </c>
      <c r="M35" s="227">
        <v>5</v>
      </c>
      <c r="N35" s="80">
        <v>4</v>
      </c>
    </row>
    <row r="36" spans="1:14" ht="9.75" customHeight="1">
      <c r="A36" s="121" t="s">
        <v>241</v>
      </c>
      <c r="B36" s="227">
        <v>379</v>
      </c>
      <c r="C36" s="227">
        <v>39</v>
      </c>
      <c r="D36" s="227" t="s">
        <v>114</v>
      </c>
      <c r="E36" s="227">
        <v>27</v>
      </c>
      <c r="F36" s="227">
        <v>5</v>
      </c>
      <c r="G36" s="227">
        <v>49</v>
      </c>
      <c r="H36" s="227">
        <v>13</v>
      </c>
      <c r="I36" s="227">
        <v>14</v>
      </c>
      <c r="J36" s="227">
        <v>2</v>
      </c>
      <c r="K36" s="227">
        <v>25</v>
      </c>
      <c r="L36" s="227">
        <v>49</v>
      </c>
      <c r="M36" s="227">
        <v>4</v>
      </c>
      <c r="N36" s="80">
        <v>6</v>
      </c>
    </row>
    <row r="37" spans="1:14" ht="9.75" customHeight="1">
      <c r="A37" s="121" t="s">
        <v>292</v>
      </c>
      <c r="B37" s="227">
        <v>8763</v>
      </c>
      <c r="C37" s="227">
        <v>1742</v>
      </c>
      <c r="D37" s="227" t="s">
        <v>114</v>
      </c>
      <c r="E37" s="227">
        <v>338</v>
      </c>
      <c r="F37" s="227">
        <v>174</v>
      </c>
      <c r="G37" s="227">
        <v>324</v>
      </c>
      <c r="H37" s="227">
        <v>382</v>
      </c>
      <c r="I37" s="227">
        <v>808</v>
      </c>
      <c r="J37" s="227">
        <v>82</v>
      </c>
      <c r="K37" s="227">
        <v>51</v>
      </c>
      <c r="L37" s="227">
        <v>206</v>
      </c>
      <c r="M37" s="227">
        <v>106</v>
      </c>
      <c r="N37" s="80">
        <v>31</v>
      </c>
    </row>
    <row r="38" spans="1:14" ht="9.75" customHeight="1">
      <c r="A38" s="121" t="s">
        <v>293</v>
      </c>
      <c r="B38" s="227">
        <v>3297</v>
      </c>
      <c r="C38" s="227">
        <v>494</v>
      </c>
      <c r="D38" s="227" t="s">
        <v>114</v>
      </c>
      <c r="E38" s="227">
        <v>112</v>
      </c>
      <c r="F38" s="227">
        <v>110</v>
      </c>
      <c r="G38" s="227">
        <v>243</v>
      </c>
      <c r="H38" s="227">
        <v>172</v>
      </c>
      <c r="I38" s="227">
        <v>37</v>
      </c>
      <c r="J38" s="227">
        <v>49</v>
      </c>
      <c r="K38" s="227">
        <v>160</v>
      </c>
      <c r="L38" s="227">
        <v>129</v>
      </c>
      <c r="M38" s="227">
        <v>68</v>
      </c>
      <c r="N38" s="80">
        <v>14</v>
      </c>
    </row>
    <row r="39" spans="1:14" ht="9.75" customHeight="1">
      <c r="A39" s="121" t="s">
        <v>244</v>
      </c>
      <c r="B39" s="227">
        <v>567</v>
      </c>
      <c r="C39" s="227">
        <v>20</v>
      </c>
      <c r="D39" s="227" t="s">
        <v>114</v>
      </c>
      <c r="E39" s="227">
        <v>12</v>
      </c>
      <c r="F39" s="227">
        <v>27</v>
      </c>
      <c r="G39" s="227">
        <v>24</v>
      </c>
      <c r="H39" s="227">
        <v>35</v>
      </c>
      <c r="I39" s="227">
        <v>17</v>
      </c>
      <c r="J39" s="227">
        <v>2</v>
      </c>
      <c r="K39" s="227">
        <v>55</v>
      </c>
      <c r="L39" s="227">
        <v>10</v>
      </c>
      <c r="M39" s="227">
        <v>0</v>
      </c>
      <c r="N39" s="80">
        <v>11</v>
      </c>
    </row>
    <row r="40" spans="1:14" ht="9.75" customHeight="1">
      <c r="A40" s="121" t="s">
        <v>245</v>
      </c>
      <c r="B40" s="227">
        <v>2763</v>
      </c>
      <c r="C40" s="227">
        <v>208</v>
      </c>
      <c r="D40" s="227" t="s">
        <v>114</v>
      </c>
      <c r="E40" s="227">
        <v>83</v>
      </c>
      <c r="F40" s="227">
        <v>61</v>
      </c>
      <c r="G40" s="227">
        <v>381</v>
      </c>
      <c r="H40" s="227">
        <v>123</v>
      </c>
      <c r="I40" s="227">
        <v>44</v>
      </c>
      <c r="J40" s="227">
        <v>135</v>
      </c>
      <c r="K40" s="227">
        <v>49</v>
      </c>
      <c r="L40" s="227">
        <v>208</v>
      </c>
      <c r="M40" s="227">
        <v>22</v>
      </c>
      <c r="N40" s="80">
        <v>15</v>
      </c>
    </row>
    <row r="41" spans="1:14" ht="9.75" customHeight="1">
      <c r="A41" s="121" t="s">
        <v>246</v>
      </c>
      <c r="B41" s="227">
        <v>4186</v>
      </c>
      <c r="C41" s="227">
        <v>693</v>
      </c>
      <c r="D41" s="227" t="s">
        <v>114</v>
      </c>
      <c r="E41" s="227">
        <v>135</v>
      </c>
      <c r="F41" s="227">
        <v>106</v>
      </c>
      <c r="G41" s="227">
        <v>573</v>
      </c>
      <c r="H41" s="227">
        <v>230</v>
      </c>
      <c r="I41" s="227">
        <v>76</v>
      </c>
      <c r="J41" s="227">
        <v>88</v>
      </c>
      <c r="K41" s="227">
        <v>110</v>
      </c>
      <c r="L41" s="227">
        <v>124</v>
      </c>
      <c r="M41" s="227">
        <v>48</v>
      </c>
      <c r="N41" s="80">
        <v>6</v>
      </c>
    </row>
    <row r="42" spans="1:14" ht="9.75" customHeight="1">
      <c r="A42" s="121" t="s">
        <v>294</v>
      </c>
      <c r="B42" s="227">
        <v>1110</v>
      </c>
      <c r="C42" s="227">
        <v>147</v>
      </c>
      <c r="D42" s="227" t="s">
        <v>114</v>
      </c>
      <c r="E42" s="227">
        <v>21</v>
      </c>
      <c r="F42" s="227">
        <v>23</v>
      </c>
      <c r="G42" s="227">
        <v>108</v>
      </c>
      <c r="H42" s="227">
        <v>60</v>
      </c>
      <c r="I42" s="227">
        <v>22</v>
      </c>
      <c r="J42" s="227">
        <v>18</v>
      </c>
      <c r="K42" s="227">
        <v>75</v>
      </c>
      <c r="L42" s="227">
        <v>15</v>
      </c>
      <c r="M42" s="227">
        <v>8</v>
      </c>
      <c r="N42" s="80">
        <v>0</v>
      </c>
    </row>
    <row r="43" spans="1:14" s="162" customFormat="1" ht="9.75" customHeight="1">
      <c r="A43" s="176" t="s">
        <v>248</v>
      </c>
      <c r="B43" s="230">
        <f>B21+B22+B23+B24</f>
        <v>7668</v>
      </c>
      <c r="C43" s="230">
        <f>C21+C22+C23+C24</f>
        <v>940</v>
      </c>
      <c r="D43" s="227" t="s">
        <v>114</v>
      </c>
      <c r="E43" s="230">
        <f t="shared" ref="E43:N43" si="0">E21+E22+E23+E24</f>
        <v>1001</v>
      </c>
      <c r="F43" s="230">
        <f t="shared" si="0"/>
        <v>152</v>
      </c>
      <c r="G43" s="230">
        <f t="shared" si="0"/>
        <v>2051</v>
      </c>
      <c r="H43" s="230">
        <f t="shared" si="0"/>
        <v>406</v>
      </c>
      <c r="I43" s="230">
        <f t="shared" si="0"/>
        <v>156</v>
      </c>
      <c r="J43" s="230">
        <f t="shared" si="0"/>
        <v>170</v>
      </c>
      <c r="K43" s="230">
        <f t="shared" si="0"/>
        <v>127</v>
      </c>
      <c r="L43" s="230">
        <f t="shared" si="0"/>
        <v>174</v>
      </c>
      <c r="M43" s="230">
        <f t="shared" si="0"/>
        <v>46</v>
      </c>
      <c r="N43" s="230">
        <f t="shared" si="0"/>
        <v>11</v>
      </c>
    </row>
    <row r="44" spans="1:14" s="162" customFormat="1" ht="9.75" customHeight="1">
      <c r="A44" s="176" t="s">
        <v>249</v>
      </c>
      <c r="B44" s="230">
        <f>B25+B28+B29+B30</f>
        <v>4237</v>
      </c>
      <c r="C44" s="230">
        <f>C25+C28+C29+C30</f>
        <v>619</v>
      </c>
      <c r="D44" s="227" t="s">
        <v>114</v>
      </c>
      <c r="E44" s="230">
        <f t="shared" ref="E44:N44" si="1">E25+E28+E29+E30</f>
        <v>563</v>
      </c>
      <c r="F44" s="230">
        <f t="shared" si="1"/>
        <v>129</v>
      </c>
      <c r="G44" s="230">
        <f t="shared" si="1"/>
        <v>702</v>
      </c>
      <c r="H44" s="230">
        <f t="shared" si="1"/>
        <v>263</v>
      </c>
      <c r="I44" s="230">
        <f t="shared" si="1"/>
        <v>87</v>
      </c>
      <c r="J44" s="230">
        <f t="shared" si="1"/>
        <v>163</v>
      </c>
      <c r="K44" s="230">
        <f t="shared" si="1"/>
        <v>85</v>
      </c>
      <c r="L44" s="230">
        <f t="shared" si="1"/>
        <v>57</v>
      </c>
      <c r="M44" s="230">
        <f t="shared" si="1"/>
        <v>63</v>
      </c>
      <c r="N44" s="230">
        <f t="shared" si="1"/>
        <v>26</v>
      </c>
    </row>
    <row r="45" spans="1:14" s="176" customFormat="1" ht="9.75" customHeight="1">
      <c r="A45" s="176" t="s">
        <v>250</v>
      </c>
      <c r="B45" s="230">
        <f>B31+B32+B33+B34</f>
        <v>18602</v>
      </c>
      <c r="C45" s="230">
        <f>C31+C32+C33+C34</f>
        <v>1168</v>
      </c>
      <c r="D45" s="227" t="s">
        <v>114</v>
      </c>
      <c r="E45" s="230">
        <f t="shared" ref="E45:N45" si="2">E31+E32+E33+E34</f>
        <v>1171</v>
      </c>
      <c r="F45" s="230">
        <f t="shared" si="2"/>
        <v>355</v>
      </c>
      <c r="G45" s="230">
        <f t="shared" si="2"/>
        <v>3829</v>
      </c>
      <c r="H45" s="230">
        <f t="shared" si="2"/>
        <v>622</v>
      </c>
      <c r="I45" s="230">
        <f t="shared" si="2"/>
        <v>252</v>
      </c>
      <c r="J45" s="230">
        <f t="shared" si="2"/>
        <v>229</v>
      </c>
      <c r="K45" s="230">
        <f t="shared" si="2"/>
        <v>152</v>
      </c>
      <c r="L45" s="230">
        <f t="shared" si="2"/>
        <v>456</v>
      </c>
      <c r="M45" s="230">
        <f t="shared" si="2"/>
        <v>203</v>
      </c>
      <c r="N45" s="230">
        <f t="shared" si="2"/>
        <v>293</v>
      </c>
    </row>
    <row r="46" spans="1:14" s="176" customFormat="1" ht="9.75" customHeight="1">
      <c r="A46" s="176" t="s">
        <v>251</v>
      </c>
      <c r="B46" s="230">
        <f>B35+B36+B37+B38+B39+B40</f>
        <v>16689</v>
      </c>
      <c r="C46" s="230">
        <f>C35+C36+C37+C38+C39+C40</f>
        <v>2670</v>
      </c>
      <c r="D46" s="227" t="s">
        <v>114</v>
      </c>
      <c r="E46" s="230">
        <f t="shared" ref="E46:N46" si="3">E35+E36+E37+E38+E39+E40</f>
        <v>659</v>
      </c>
      <c r="F46" s="230">
        <f t="shared" si="3"/>
        <v>399</v>
      </c>
      <c r="G46" s="230">
        <f t="shared" si="3"/>
        <v>1095</v>
      </c>
      <c r="H46" s="230">
        <f t="shared" si="3"/>
        <v>776</v>
      </c>
      <c r="I46" s="230">
        <f t="shared" si="3"/>
        <v>948</v>
      </c>
      <c r="J46" s="230">
        <f t="shared" si="3"/>
        <v>293</v>
      </c>
      <c r="K46" s="230">
        <f t="shared" si="3"/>
        <v>358</v>
      </c>
      <c r="L46" s="230">
        <f t="shared" si="3"/>
        <v>632</v>
      </c>
      <c r="M46" s="230">
        <f t="shared" si="3"/>
        <v>205</v>
      </c>
      <c r="N46" s="230">
        <f t="shared" si="3"/>
        <v>81</v>
      </c>
    </row>
    <row r="47" spans="1:14" s="176" customFormat="1" ht="9.75" customHeight="1">
      <c r="A47" s="176" t="s">
        <v>252</v>
      </c>
      <c r="B47" s="230">
        <f>B41+B42</f>
        <v>5296</v>
      </c>
      <c r="C47" s="230">
        <f>C41+C42</f>
        <v>840</v>
      </c>
      <c r="D47" s="227" t="s">
        <v>114</v>
      </c>
      <c r="E47" s="230">
        <f t="shared" ref="E47:N47" si="4">E41+E42</f>
        <v>156</v>
      </c>
      <c r="F47" s="230">
        <f t="shared" si="4"/>
        <v>129</v>
      </c>
      <c r="G47" s="230">
        <f t="shared" si="4"/>
        <v>681</v>
      </c>
      <c r="H47" s="230">
        <f t="shared" si="4"/>
        <v>290</v>
      </c>
      <c r="I47" s="230">
        <f t="shared" si="4"/>
        <v>98</v>
      </c>
      <c r="J47" s="230">
        <f t="shared" si="4"/>
        <v>106</v>
      </c>
      <c r="K47" s="230">
        <f t="shared" si="4"/>
        <v>185</v>
      </c>
      <c r="L47" s="230">
        <f t="shared" si="4"/>
        <v>139</v>
      </c>
      <c r="M47" s="230">
        <f t="shared" si="4"/>
        <v>56</v>
      </c>
      <c r="N47" s="230">
        <f t="shared" si="4"/>
        <v>6</v>
      </c>
    </row>
    <row r="48" spans="1:14" s="232" customFormat="1" ht="9.75" customHeight="1">
      <c r="A48" s="231" t="s">
        <v>295</v>
      </c>
      <c r="B48" s="230">
        <f>B43+B44+B45+B46+B47</f>
        <v>52492</v>
      </c>
      <c r="C48" s="230">
        <f>C43+C44+C45+C46+C47</f>
        <v>6237</v>
      </c>
      <c r="D48" s="227" t="s">
        <v>114</v>
      </c>
      <c r="E48" s="230">
        <f t="shared" ref="E48:N48" si="5">E43+E44+E45+E46+E47</f>
        <v>3550</v>
      </c>
      <c r="F48" s="230">
        <f t="shared" si="5"/>
        <v>1164</v>
      </c>
      <c r="G48" s="230">
        <f t="shared" si="5"/>
        <v>8358</v>
      </c>
      <c r="H48" s="230">
        <f t="shared" si="5"/>
        <v>2357</v>
      </c>
      <c r="I48" s="230">
        <f t="shared" si="5"/>
        <v>1541</v>
      </c>
      <c r="J48" s="230">
        <f t="shared" si="5"/>
        <v>961</v>
      </c>
      <c r="K48" s="230">
        <f t="shared" si="5"/>
        <v>907</v>
      </c>
      <c r="L48" s="230">
        <f t="shared" si="5"/>
        <v>1458</v>
      </c>
      <c r="M48" s="230">
        <f t="shared" si="5"/>
        <v>573</v>
      </c>
      <c r="N48" s="230">
        <f t="shared" si="5"/>
        <v>417</v>
      </c>
    </row>
    <row r="49" spans="1:14" ht="4.5" customHeight="1">
      <c r="A49" s="76"/>
      <c r="B49" s="233"/>
      <c r="C49" s="78"/>
      <c r="D49" s="82"/>
      <c r="E49" s="82"/>
      <c r="F49" s="78"/>
      <c r="G49" s="78"/>
      <c r="H49" s="78"/>
      <c r="I49" s="78"/>
      <c r="J49" s="78"/>
      <c r="K49" s="78"/>
      <c r="L49" s="78"/>
      <c r="M49" s="78"/>
    </row>
    <row r="50" spans="1:14" ht="12" customHeight="1">
      <c r="B50" s="614" t="s">
        <v>296</v>
      </c>
      <c r="C50" s="614"/>
      <c r="D50" s="614"/>
      <c r="E50" s="614"/>
      <c r="F50" s="614"/>
      <c r="G50" s="614"/>
      <c r="H50" s="614"/>
      <c r="I50" s="614"/>
      <c r="J50" s="614"/>
      <c r="K50" s="614"/>
      <c r="L50" s="614"/>
      <c r="M50" s="614"/>
    </row>
    <row r="51" spans="1:14" ht="4.5" customHeight="1">
      <c r="A51" s="76"/>
      <c r="B51" s="85"/>
      <c r="C51" s="78"/>
      <c r="D51" s="78"/>
      <c r="E51" s="78"/>
      <c r="F51" s="78"/>
      <c r="G51" s="78"/>
      <c r="H51" s="78"/>
      <c r="I51" s="78"/>
      <c r="J51" s="78"/>
      <c r="K51" s="78"/>
      <c r="L51" s="78"/>
      <c r="M51" s="78"/>
    </row>
    <row r="52" spans="1:14" ht="9.75" customHeight="1">
      <c r="A52" s="168" t="s">
        <v>248</v>
      </c>
      <c r="B52" s="234">
        <v>100</v>
      </c>
      <c r="C52" s="234">
        <f>C43/$B43*100</f>
        <v>12.258737610850288</v>
      </c>
      <c r="D52" s="234" t="s">
        <v>114</v>
      </c>
      <c r="E52" s="234">
        <f t="shared" ref="E52:N52" si="6">E43/$B43*100</f>
        <v>13.054251434533123</v>
      </c>
      <c r="F52" s="234">
        <f t="shared" si="6"/>
        <v>1.9822639540949401</v>
      </c>
      <c r="G52" s="234">
        <f t="shared" si="6"/>
        <v>26.74752217005738</v>
      </c>
      <c r="H52" s="234">
        <f t="shared" si="6"/>
        <v>5.2947313510693794</v>
      </c>
      <c r="I52" s="234">
        <f t="shared" si="6"/>
        <v>2.0344287949921753</v>
      </c>
      <c r="J52" s="234">
        <f t="shared" si="6"/>
        <v>2.2170057381324986</v>
      </c>
      <c r="K52" s="234">
        <f t="shared" si="6"/>
        <v>1.6562336984872195</v>
      </c>
      <c r="L52" s="234">
        <f t="shared" si="6"/>
        <v>2.2691705790297343</v>
      </c>
      <c r="M52" s="234">
        <f t="shared" si="6"/>
        <v>0.59989567031820556</v>
      </c>
      <c r="N52" s="234">
        <f t="shared" si="6"/>
        <v>0.14345331246739698</v>
      </c>
    </row>
    <row r="53" spans="1:14" ht="9.75" customHeight="1">
      <c r="A53" s="168" t="s">
        <v>249</v>
      </c>
      <c r="B53" s="234">
        <v>100</v>
      </c>
      <c r="C53" s="234">
        <f t="shared" ref="C53:N57" si="7">C44/$B44*100</f>
        <v>14.609393438753834</v>
      </c>
      <c r="D53" s="234" t="s">
        <v>114</v>
      </c>
      <c r="E53" s="234">
        <f t="shared" si="7"/>
        <v>13.28770356384234</v>
      </c>
      <c r="F53" s="234">
        <f t="shared" si="7"/>
        <v>3.0446070332782629</v>
      </c>
      <c r="G53" s="234">
        <f t="shared" si="7"/>
        <v>16.568326646211943</v>
      </c>
      <c r="H53" s="234">
        <f t="shared" si="7"/>
        <v>6.2072220911021949</v>
      </c>
      <c r="I53" s="234">
        <f t="shared" si="7"/>
        <v>2.0533396270946422</v>
      </c>
      <c r="J53" s="234">
        <f t="shared" si="7"/>
        <v>3.8470616001888129</v>
      </c>
      <c r="K53" s="234">
        <f t="shared" si="7"/>
        <v>2.0061364172763749</v>
      </c>
      <c r="L53" s="234">
        <f t="shared" si="7"/>
        <v>1.3452914798206279</v>
      </c>
      <c r="M53" s="234">
        <f t="shared" si="7"/>
        <v>1.4869011092754307</v>
      </c>
      <c r="N53" s="234">
        <f t="shared" si="7"/>
        <v>0.61364172763747937</v>
      </c>
    </row>
    <row r="54" spans="1:14" ht="9.75" customHeight="1">
      <c r="A54" s="168" t="s">
        <v>250</v>
      </c>
      <c r="B54" s="234">
        <v>100</v>
      </c>
      <c r="C54" s="234">
        <f t="shared" si="7"/>
        <v>6.2788947425008068</v>
      </c>
      <c r="D54" s="234" t="s">
        <v>114</v>
      </c>
      <c r="E54" s="234">
        <f t="shared" si="7"/>
        <v>6.2950220406407906</v>
      </c>
      <c r="F54" s="234">
        <f t="shared" si="7"/>
        <v>1.9083969465648856</v>
      </c>
      <c r="G54" s="234">
        <f t="shared" si="7"/>
        <v>20.583808192667455</v>
      </c>
      <c r="H54" s="234">
        <f t="shared" si="7"/>
        <v>3.3437264810235456</v>
      </c>
      <c r="I54" s="234">
        <f t="shared" si="7"/>
        <v>1.3546930437587357</v>
      </c>
      <c r="J54" s="234">
        <f t="shared" si="7"/>
        <v>1.2310504246855176</v>
      </c>
      <c r="K54" s="234">
        <f t="shared" si="7"/>
        <v>0.8171164390925707</v>
      </c>
      <c r="L54" s="234">
        <f t="shared" si="7"/>
        <v>2.4513493172777121</v>
      </c>
      <c r="M54" s="234">
        <f t="shared" si="7"/>
        <v>1.0912805074723146</v>
      </c>
      <c r="N54" s="234">
        <f t="shared" si="7"/>
        <v>1.5750994516718635</v>
      </c>
    </row>
    <row r="55" spans="1:14" ht="9.75" customHeight="1">
      <c r="A55" s="168" t="s">
        <v>251</v>
      </c>
      <c r="B55" s="234">
        <v>100</v>
      </c>
      <c r="C55" s="234">
        <f t="shared" si="7"/>
        <v>15.998561927017796</v>
      </c>
      <c r="D55" s="234" t="s">
        <v>114</v>
      </c>
      <c r="E55" s="234">
        <f t="shared" si="7"/>
        <v>3.9487087303013957</v>
      </c>
      <c r="F55" s="234">
        <f t="shared" si="7"/>
        <v>2.3907963329138955</v>
      </c>
      <c r="G55" s="234">
        <f t="shared" si="7"/>
        <v>6.561207981305051</v>
      </c>
      <c r="H55" s="234">
        <f t="shared" si="7"/>
        <v>4.6497693091257712</v>
      </c>
      <c r="I55" s="234">
        <f t="shared" si="7"/>
        <v>5.6803882797051948</v>
      </c>
      <c r="J55" s="234">
        <f t="shared" si="7"/>
        <v>1.7556474324405298</v>
      </c>
      <c r="K55" s="234">
        <f t="shared" si="7"/>
        <v>2.1451255317874049</v>
      </c>
      <c r="L55" s="234">
        <f t="shared" si="7"/>
        <v>3.7869255198034635</v>
      </c>
      <c r="M55" s="234">
        <f t="shared" si="7"/>
        <v>1.2283540056324527</v>
      </c>
      <c r="N55" s="234">
        <f t="shared" si="7"/>
        <v>0.48534963149379834</v>
      </c>
    </row>
    <row r="56" spans="1:14" ht="9.75" customHeight="1">
      <c r="A56" s="168" t="s">
        <v>252</v>
      </c>
      <c r="B56" s="234">
        <v>100</v>
      </c>
      <c r="C56" s="234">
        <f t="shared" si="7"/>
        <v>15.861027190332328</v>
      </c>
      <c r="D56" s="234" t="s">
        <v>114</v>
      </c>
      <c r="E56" s="234">
        <f t="shared" si="7"/>
        <v>2.9456193353474323</v>
      </c>
      <c r="F56" s="234">
        <f t="shared" si="7"/>
        <v>2.4358006042296072</v>
      </c>
      <c r="G56" s="234">
        <f t="shared" si="7"/>
        <v>12.858761329305135</v>
      </c>
      <c r="H56" s="234">
        <f t="shared" si="7"/>
        <v>5.47583081570997</v>
      </c>
      <c r="I56" s="234">
        <f t="shared" si="7"/>
        <v>1.8504531722054378</v>
      </c>
      <c r="J56" s="234">
        <f t="shared" si="7"/>
        <v>2.0015105740181269</v>
      </c>
      <c r="K56" s="234">
        <f t="shared" si="7"/>
        <v>3.4932024169184293</v>
      </c>
      <c r="L56" s="234">
        <f t="shared" si="7"/>
        <v>2.6246223564954683</v>
      </c>
      <c r="M56" s="234">
        <f t="shared" si="7"/>
        <v>1.0574018126888218</v>
      </c>
      <c r="N56" s="234">
        <f t="shared" si="7"/>
        <v>0.11329305135951663</v>
      </c>
    </row>
    <row r="57" spans="1:14" s="229" customFormat="1" ht="9.75" customHeight="1">
      <c r="A57" s="236" t="s">
        <v>98</v>
      </c>
      <c r="B57" s="237">
        <v>100</v>
      </c>
      <c r="C57" s="234">
        <f t="shared" si="7"/>
        <v>11.881810561609388</v>
      </c>
      <c r="D57" s="234" t="s">
        <v>114</v>
      </c>
      <c r="E57" s="234">
        <f t="shared" si="7"/>
        <v>6.7629353044273408</v>
      </c>
      <c r="F57" s="234">
        <f t="shared" si="7"/>
        <v>2.2174807589727958</v>
      </c>
      <c r="G57" s="234">
        <f t="shared" si="7"/>
        <v>15.922426274479919</v>
      </c>
      <c r="H57" s="234">
        <f t="shared" si="7"/>
        <v>4.4902080317000683</v>
      </c>
      <c r="I57" s="234">
        <f t="shared" si="7"/>
        <v>2.9356854377809953</v>
      </c>
      <c r="J57" s="234">
        <f t="shared" si="7"/>
        <v>1.8307551626914578</v>
      </c>
      <c r="K57" s="234">
        <f t="shared" si="7"/>
        <v>1.727882343976225</v>
      </c>
      <c r="L57" s="234">
        <f t="shared" si="7"/>
        <v>2.7775661053112852</v>
      </c>
      <c r="M57" s="234">
        <f t="shared" si="7"/>
        <v>1.0915949097005258</v>
      </c>
      <c r="N57" s="234">
        <f t="shared" si="7"/>
        <v>0.79440676674540878</v>
      </c>
    </row>
    <row r="58" spans="1:14" ht="4.5" customHeight="1">
      <c r="A58" s="238"/>
      <c r="B58" s="239"/>
      <c r="C58" s="240"/>
      <c r="D58" s="240"/>
      <c r="E58" s="240"/>
      <c r="F58" s="240"/>
      <c r="G58" s="240"/>
      <c r="H58" s="240"/>
      <c r="I58" s="240"/>
      <c r="J58" s="240"/>
      <c r="K58" s="240"/>
      <c r="L58" s="240"/>
      <c r="M58" s="240"/>
      <c r="N58" s="400"/>
    </row>
    <row r="59" spans="1:14" ht="7.5" customHeight="1">
      <c r="E59" s="80" t="s">
        <v>297</v>
      </c>
    </row>
    <row r="60" spans="1:14" ht="10" customHeight="1">
      <c r="A60" s="79" t="s">
        <v>298</v>
      </c>
      <c r="H60" s="500"/>
    </row>
    <row r="61" spans="1:14" ht="18" customHeight="1">
      <c r="A61" s="652" t="s">
        <v>299</v>
      </c>
      <c r="B61" s="652"/>
      <c r="C61" s="652"/>
      <c r="D61" s="652"/>
      <c r="E61" s="652"/>
      <c r="F61" s="652"/>
      <c r="G61" s="652"/>
      <c r="H61" s="652"/>
      <c r="I61" s="652"/>
      <c r="J61" s="652"/>
      <c r="K61" s="652"/>
      <c r="L61" s="652"/>
      <c r="M61" s="652"/>
      <c r="N61" s="652"/>
    </row>
    <row r="62" spans="1:14" ht="9" customHeight="1">
      <c r="A62" s="653" t="s">
        <v>300</v>
      </c>
      <c r="B62" s="653"/>
      <c r="C62" s="653"/>
      <c r="D62" s="653"/>
      <c r="E62" s="653"/>
      <c r="F62" s="653"/>
      <c r="G62" s="653"/>
      <c r="H62" s="653"/>
      <c r="I62" s="653"/>
      <c r="J62" s="653"/>
      <c r="K62" s="653"/>
      <c r="L62" s="653"/>
      <c r="M62" s="653"/>
      <c r="N62" s="653"/>
    </row>
    <row r="63" spans="1:14" ht="10" customHeight="1">
      <c r="A63" s="652" t="s">
        <v>301</v>
      </c>
      <c r="B63" s="652"/>
      <c r="C63" s="652"/>
      <c r="D63" s="652"/>
      <c r="E63" s="652"/>
      <c r="F63" s="652"/>
      <c r="G63" s="652"/>
      <c r="H63" s="652"/>
      <c r="I63" s="652"/>
      <c r="J63" s="652"/>
      <c r="K63" s="652"/>
      <c r="L63" s="652"/>
      <c r="M63" s="652"/>
      <c r="N63" s="652"/>
    </row>
    <row r="64" spans="1:14" ht="18" customHeight="1">
      <c r="I64" s="497"/>
    </row>
    <row r="65" spans="1:14" ht="9">
      <c r="A65" s="168"/>
      <c r="B65" s="234"/>
      <c r="C65" s="234"/>
      <c r="D65" s="234"/>
      <c r="E65" s="234"/>
      <c r="F65" s="234"/>
      <c r="G65" s="234"/>
      <c r="H65" s="234"/>
      <c r="I65" s="234"/>
      <c r="J65" s="234"/>
      <c r="K65" s="234"/>
      <c r="L65" s="234"/>
      <c r="M65" s="234"/>
      <c r="N65" s="234"/>
    </row>
    <row r="66" spans="1:14" ht="9">
      <c r="A66" s="168"/>
      <c r="B66" s="234"/>
      <c r="C66" s="234"/>
      <c r="D66" s="235"/>
      <c r="E66" s="234"/>
      <c r="F66" s="234"/>
      <c r="G66" s="234"/>
      <c r="H66" s="234"/>
      <c r="I66" s="234"/>
      <c r="J66" s="234"/>
      <c r="K66" s="234"/>
      <c r="L66" s="234"/>
      <c r="M66" s="234"/>
      <c r="N66" s="234"/>
    </row>
    <row r="67" spans="1:14" ht="9">
      <c r="A67" s="168"/>
      <c r="B67" s="234"/>
      <c r="C67" s="234"/>
      <c r="D67" s="235"/>
      <c r="E67" s="234"/>
      <c r="F67" s="234"/>
      <c r="G67" s="234"/>
      <c r="H67" s="234"/>
      <c r="I67" s="234"/>
      <c r="J67" s="234"/>
      <c r="K67" s="234"/>
      <c r="L67" s="234"/>
      <c r="M67" s="234"/>
      <c r="N67" s="234"/>
    </row>
    <row r="68" spans="1:14" ht="9">
      <c r="A68" s="168"/>
      <c r="B68" s="234"/>
      <c r="C68" s="234"/>
      <c r="D68" s="235"/>
      <c r="E68" s="234"/>
      <c r="F68" s="234"/>
      <c r="G68" s="234"/>
      <c r="H68" s="234"/>
      <c r="I68" s="234"/>
      <c r="J68" s="234"/>
      <c r="K68" s="234"/>
      <c r="L68" s="234"/>
      <c r="M68" s="234"/>
      <c r="N68" s="234"/>
    </row>
    <row r="69" spans="1:14" ht="9">
      <c r="A69" s="168"/>
      <c r="B69" s="234"/>
      <c r="C69" s="234"/>
      <c r="D69" s="235"/>
      <c r="E69" s="234"/>
      <c r="F69" s="234"/>
      <c r="G69" s="234"/>
      <c r="H69" s="234"/>
      <c r="I69" s="234"/>
      <c r="J69" s="234"/>
      <c r="K69" s="234"/>
      <c r="L69" s="234"/>
      <c r="M69" s="234"/>
      <c r="N69" s="234"/>
    </row>
    <row r="70" spans="1:14" ht="9">
      <c r="A70" s="236"/>
      <c r="B70" s="237"/>
      <c r="C70" s="237"/>
      <c r="D70" s="235"/>
      <c r="E70" s="237"/>
      <c r="F70" s="237"/>
      <c r="G70" s="237"/>
      <c r="H70" s="237"/>
      <c r="I70" s="237"/>
      <c r="J70" s="237"/>
      <c r="K70" s="237"/>
      <c r="L70" s="237"/>
      <c r="M70" s="237"/>
      <c r="N70" s="237"/>
    </row>
  </sheetData>
  <mergeCells count="10">
    <mergeCell ref="B50:M50"/>
    <mergeCell ref="A61:N61"/>
    <mergeCell ref="A62:N62"/>
    <mergeCell ref="A63:N63"/>
    <mergeCell ref="A5:M5"/>
    <mergeCell ref="A8:A9"/>
    <mergeCell ref="B8:B9"/>
    <mergeCell ref="C8:M8"/>
    <mergeCell ref="B17:M17"/>
    <mergeCell ref="B19:M19"/>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1</vt:i4>
      </vt:variant>
    </vt:vector>
  </HeadingPairs>
  <TitlesOfParts>
    <vt:vector size="25" baseType="lpstr">
      <vt:lpstr>Indice</vt:lpstr>
      <vt:lpstr>6.1</vt:lpstr>
      <vt:lpstr>6.2 </vt:lpstr>
      <vt:lpstr>6.3 </vt:lpstr>
      <vt:lpstr> 6.4</vt:lpstr>
      <vt:lpstr>6.5</vt:lpstr>
      <vt:lpstr>6.6</vt:lpstr>
      <vt:lpstr>6.7 </vt:lpstr>
      <vt:lpstr>6.8 </vt:lpstr>
      <vt:lpstr> 6.9</vt:lpstr>
      <vt:lpstr>6.10</vt:lpstr>
      <vt:lpstr>6.11</vt:lpstr>
      <vt:lpstr>6.12</vt:lpstr>
      <vt:lpstr>6.13</vt:lpstr>
      <vt:lpstr>6.14</vt:lpstr>
      <vt:lpstr>6.15</vt:lpstr>
      <vt:lpstr>6.16</vt:lpstr>
      <vt:lpstr>6.17</vt:lpstr>
      <vt:lpstr>6.18</vt:lpstr>
      <vt:lpstr>6.19</vt:lpstr>
      <vt:lpstr>6.20</vt:lpstr>
      <vt:lpstr>6.21</vt:lpstr>
      <vt:lpstr>6.22</vt:lpstr>
      <vt:lpstr>6.23</vt:lpstr>
      <vt:lpstr>'6.2 '!Area_stampa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2025-12-05T16:06:25Z</dcterms:modified>
  <cp:category/>
  <cp:contentStatus/>
</cp:coreProperties>
</file>